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0155" windowHeight="8190" activeTab="2"/>
  </bookViews>
  <sheets>
    <sheet name="ORÇAMENTO não" sheetId="1" r:id="rId1"/>
    <sheet name="CRONOGRAMA não" sheetId="3" r:id="rId2"/>
    <sheet name="ORÇAMENTO CONSOLIDADO" sheetId="4" r:id="rId3"/>
    <sheet name="CRONOGRAMA CONSOLIDADO" sheetId="6" r:id="rId4"/>
  </sheets>
  <definedNames>
    <definedName name="_1Excel_BuiltIn_Print_Area_1_1_1_1">'ORÇAMENTO não'!$A$1:$K$80</definedName>
    <definedName name="_2Excel_BuiltIn_Print_Area_1_1_1_1_1_1">'ORÇAMENTO não'!$A$1:$K$125</definedName>
    <definedName name="_xlnm._FilterDatabase" localSheetId="0" hidden="1">'ORÇAMENTO não'!$A$9:$G$101</definedName>
    <definedName name="_xlnm.Print_Area" localSheetId="3">'CRONOGRAMA CONSOLIDADO'!$A$1:$M$28</definedName>
    <definedName name="_xlnm.Print_Area" localSheetId="1">'CRONOGRAMA não'!$A$1:$K$41</definedName>
    <definedName name="_xlnm.Print_Area" localSheetId="2">'ORÇAMENTO CONSOLIDADO'!$A$1:$G$48</definedName>
    <definedName name="_xlnm.Print_Area" localSheetId="0">'ORÇAMENTO não'!$A$1:$G$135</definedName>
    <definedName name="Excel_BuiltIn__FilterDatabase_3" localSheetId="3">#REF!</definedName>
    <definedName name="Excel_BuiltIn__FilterDatabase_3">#REF!</definedName>
    <definedName name="Excel_BuiltIn_Print_Area_1_1">'ORÇAMENTO não'!$A$1:$G$172</definedName>
    <definedName name="Excel_BuiltIn_Print_Area_1_1_1">'ORÇAMENTO não'!$A$1:$G$178</definedName>
    <definedName name="Excel_BuiltIn_Print_Area_1_1_1_1">'ORÇAMENTO não'!$A$1:$K$80</definedName>
    <definedName name="Excel_BuiltIn_Print_Area_1_1_1_1_1">'ORÇAMENTO não'!$A$1:$K$80</definedName>
    <definedName name="Excel_BuiltIn_Print_Titles_2" localSheetId="3">#REF!</definedName>
    <definedName name="Excel_BuiltIn_Print_Titles_2">#REF!</definedName>
    <definedName name="_xlnm.Print_Titles" localSheetId="0">'ORÇAMENTO não'!$1:$9</definedName>
  </definedNames>
  <calcPr calcId="144525" fullPrecision="0"/>
</workbook>
</file>

<file path=xl/calcChain.xml><?xml version="1.0" encoding="utf-8"?>
<calcChain xmlns="http://schemas.openxmlformats.org/spreadsheetml/2006/main">
  <c r="D21" i="6" l="1"/>
  <c r="C21" i="6"/>
  <c r="E19" i="6"/>
  <c r="E18" i="6"/>
  <c r="D19" i="6"/>
  <c r="D18" i="6"/>
  <c r="C19" i="6"/>
  <c r="C18" i="6"/>
  <c r="G27" i="4" l="1"/>
  <c r="G15" i="4" l="1"/>
  <c r="G21" i="4"/>
  <c r="G23" i="4"/>
  <c r="G25" i="4" l="1"/>
  <c r="L19" i="6"/>
  <c r="L18" i="6"/>
  <c r="G116" i="1" l="1"/>
  <c r="C34" i="3"/>
  <c r="J34" i="3"/>
  <c r="H34" i="3"/>
  <c r="I35" i="3"/>
  <c r="I34" i="3"/>
  <c r="G34" i="3"/>
  <c r="F35" i="3"/>
  <c r="H35" i="3" s="1"/>
  <c r="F34" i="3"/>
  <c r="G35" i="3"/>
  <c r="E34" i="3"/>
  <c r="E35" i="3"/>
  <c r="K34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18" i="3"/>
  <c r="J31" i="3"/>
  <c r="J32" i="3"/>
  <c r="I31" i="3"/>
  <c r="I32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E25" i="3"/>
  <c r="E24" i="3"/>
  <c r="E23" i="3"/>
  <c r="E22" i="3"/>
  <c r="E21" i="3"/>
  <c r="E20" i="3"/>
  <c r="E19" i="3"/>
  <c r="E18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E31" i="3"/>
  <c r="E32" i="3"/>
  <c r="E29" i="3"/>
  <c r="E30" i="3"/>
  <c r="C32" i="3"/>
  <c r="C31" i="3"/>
  <c r="C30" i="3"/>
  <c r="E109" i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J27" i="3"/>
  <c r="I27" i="3" s="1"/>
  <c r="J28" i="3"/>
  <c r="I28" i="3" s="1"/>
  <c r="J29" i="3"/>
  <c r="I29" i="3" s="1"/>
  <c r="J30" i="3"/>
  <c r="I30" i="3" s="1"/>
  <c r="J18" i="3"/>
  <c r="I18" i="3" s="1"/>
  <c r="J35" i="3" l="1"/>
  <c r="E19" i="4"/>
  <c r="E20" i="4"/>
  <c r="G20" i="4" s="1"/>
  <c r="E18" i="4"/>
  <c r="G18" i="4" s="1"/>
  <c r="E102" i="1"/>
  <c r="E95" i="1"/>
  <c r="E88" i="1"/>
  <c r="E81" i="1"/>
  <c r="E74" i="1"/>
  <c r="E67" i="1"/>
  <c r="E60" i="1"/>
  <c r="E53" i="1"/>
  <c r="E46" i="1"/>
  <c r="E39" i="1"/>
  <c r="E32" i="1"/>
  <c r="E25" i="1"/>
  <c r="E18" i="1"/>
  <c r="E11" i="1"/>
  <c r="E113" i="1"/>
  <c r="E112" i="1"/>
  <c r="E111" i="1"/>
  <c r="E105" i="1"/>
  <c r="G110" i="1"/>
  <c r="G109" i="1"/>
  <c r="G103" i="1"/>
  <c r="G102" i="1"/>
  <c r="G113" i="1"/>
  <c r="G111" i="1"/>
  <c r="E106" i="1"/>
  <c r="G106" i="1" s="1"/>
  <c r="E104" i="1"/>
  <c r="G104" i="1" s="1"/>
  <c r="E12" i="4" l="1"/>
  <c r="G12" i="4" s="1"/>
  <c r="G19" i="4"/>
  <c r="G112" i="1"/>
  <c r="G114" i="1" s="1"/>
  <c r="G105" i="1"/>
  <c r="G107" i="1" s="1"/>
  <c r="G96" i="1"/>
  <c r="G89" i="1"/>
  <c r="G82" i="1"/>
  <c r="G75" i="1"/>
  <c r="G68" i="1"/>
  <c r="G61" i="1"/>
  <c r="G54" i="1"/>
  <c r="G47" i="1"/>
  <c r="G40" i="1"/>
  <c r="G33" i="1"/>
  <c r="G26" i="1"/>
  <c r="G19" i="1"/>
  <c r="G12" i="1"/>
  <c r="E98" i="1"/>
  <c r="G98" i="1" s="1"/>
  <c r="E97" i="1"/>
  <c r="G97" i="1" s="1"/>
  <c r="E91" i="1"/>
  <c r="G91" i="1" s="1"/>
  <c r="E90" i="1"/>
  <c r="G90" i="1" s="1"/>
  <c r="E84" i="1"/>
  <c r="G84" i="1" s="1"/>
  <c r="E83" i="1"/>
  <c r="G83" i="1" s="1"/>
  <c r="E77" i="1"/>
  <c r="G77" i="1" s="1"/>
  <c r="E76" i="1"/>
  <c r="G76" i="1" s="1"/>
  <c r="E70" i="1"/>
  <c r="G70" i="1" s="1"/>
  <c r="E69" i="1"/>
  <c r="G69" i="1" s="1"/>
  <c r="E63" i="1"/>
  <c r="G63" i="1" s="1"/>
  <c r="E62" i="1"/>
  <c r="G62" i="1" s="1"/>
  <c r="E56" i="1"/>
  <c r="G56" i="1" s="1"/>
  <c r="E55" i="1"/>
  <c r="G55" i="1" s="1"/>
  <c r="E49" i="1"/>
  <c r="G49" i="1" s="1"/>
  <c r="E48" i="1"/>
  <c r="G48" i="1" s="1"/>
  <c r="E42" i="1"/>
  <c r="G42" i="1" s="1"/>
  <c r="E41" i="1"/>
  <c r="G41" i="1" s="1"/>
  <c r="E35" i="1"/>
  <c r="G35" i="1" s="1"/>
  <c r="E34" i="1"/>
  <c r="G34" i="1" s="1"/>
  <c r="E27" i="1"/>
  <c r="G27" i="1" s="1"/>
  <c r="E14" i="1"/>
  <c r="G14" i="1" s="1"/>
  <c r="E20" i="1"/>
  <c r="G20" i="1" s="1"/>
  <c r="E15" i="1"/>
  <c r="G15" i="1" s="1"/>
  <c r="E13" i="1"/>
  <c r="G13" i="1" s="1"/>
  <c r="E99" i="1"/>
  <c r="G99" i="1" s="1"/>
  <c r="E92" i="1"/>
  <c r="G92" i="1" s="1"/>
  <c r="E85" i="1"/>
  <c r="G85" i="1" s="1"/>
  <c r="E78" i="1"/>
  <c r="G78" i="1" s="1"/>
  <c r="E71" i="1"/>
  <c r="G71" i="1" s="1"/>
  <c r="E64" i="1"/>
  <c r="G64" i="1" s="1"/>
  <c r="E57" i="1"/>
  <c r="G57" i="1" s="1"/>
  <c r="E50" i="1"/>
  <c r="G50" i="1" s="1"/>
  <c r="E43" i="1"/>
  <c r="G43" i="1" s="1"/>
  <c r="E36" i="1"/>
  <c r="G36" i="1" s="1"/>
  <c r="E21" i="1" l="1"/>
  <c r="E28" i="1"/>
  <c r="G11" i="1"/>
  <c r="G16" i="1" s="1"/>
  <c r="C18" i="3"/>
  <c r="G18" i="1"/>
  <c r="G25" i="1"/>
  <c r="M19" i="6" l="1"/>
  <c r="K19" i="6"/>
  <c r="I19" i="6"/>
  <c r="G19" i="6"/>
  <c r="G28" i="1"/>
  <c r="E29" i="1"/>
  <c r="G29" i="1" s="1"/>
  <c r="G21" i="1"/>
  <c r="E22" i="1"/>
  <c r="G22" i="1" s="1"/>
  <c r="E14" i="4"/>
  <c r="G14" i="4" s="1"/>
  <c r="G95" i="1"/>
  <c r="G100" i="1" s="1"/>
  <c r="G88" i="1"/>
  <c r="G93" i="1" s="1"/>
  <c r="C29" i="3" s="1"/>
  <c r="G81" i="1"/>
  <c r="G86" i="1" s="1"/>
  <c r="G74" i="1"/>
  <c r="G79" i="1" s="1"/>
  <c r="C27" i="3" s="1"/>
  <c r="G67" i="1"/>
  <c r="G72" i="1" s="1"/>
  <c r="C26" i="3" s="1"/>
  <c r="G60" i="1"/>
  <c r="G65" i="1" s="1"/>
  <c r="C25" i="3" s="1"/>
  <c r="G53" i="1"/>
  <c r="G58" i="1" s="1"/>
  <c r="C24" i="3" s="1"/>
  <c r="G46" i="1"/>
  <c r="G51" i="1" s="1"/>
  <c r="C23" i="3" s="1"/>
  <c r="G39" i="1"/>
  <c r="G44" i="1" s="1"/>
  <c r="C22" i="3" s="1"/>
  <c r="G32" i="1"/>
  <c r="G37" i="1" s="1"/>
  <c r="C21" i="3" s="1"/>
  <c r="E21" i="6" l="1"/>
  <c r="G23" i="1"/>
  <c r="G30" i="1"/>
  <c r="C20" i="3" s="1"/>
  <c r="E27" i="3"/>
  <c r="E26" i="3"/>
  <c r="C28" i="3"/>
  <c r="F19" i="6" l="1"/>
  <c r="F18" i="6"/>
  <c r="F21" i="6" s="1"/>
  <c r="G18" i="6"/>
  <c r="G21" i="6" s="1"/>
  <c r="I18" i="6"/>
  <c r="I21" i="6" s="1"/>
  <c r="J21" i="6" s="1"/>
  <c r="K18" i="6"/>
  <c r="K21" i="6" s="1"/>
  <c r="L21" i="6" s="1"/>
  <c r="M18" i="6"/>
  <c r="M21" i="6" s="1"/>
  <c r="C19" i="3"/>
  <c r="E28" i="3"/>
  <c r="H21" i="6" l="1"/>
  <c r="G22" i="6"/>
  <c r="D34" i="3"/>
  <c r="I22" i="6" l="1"/>
  <c r="K22" i="6" s="1"/>
  <c r="H22" i="6"/>
  <c r="J22" i="6" s="1"/>
  <c r="L22" i="6" s="1"/>
</calcChain>
</file>

<file path=xl/sharedStrings.xml><?xml version="1.0" encoding="utf-8"?>
<sst xmlns="http://schemas.openxmlformats.org/spreadsheetml/2006/main" count="367" uniqueCount="133">
  <si>
    <t>ANEXO II</t>
  </si>
  <si>
    <t>OBRA :</t>
  </si>
  <si>
    <t>LOCAL :</t>
  </si>
  <si>
    <t>ITEM</t>
  </si>
  <si>
    <t>CÓDIGO</t>
  </si>
  <si>
    <t>DESCRIÇÃO</t>
  </si>
  <si>
    <t>QUANT.</t>
  </si>
  <si>
    <t>M2</t>
  </si>
  <si>
    <t>SUBTOTAL (Etapa):</t>
  </si>
  <si>
    <t>M</t>
  </si>
  <si>
    <t>1.1.1</t>
  </si>
  <si>
    <t>1.1.2</t>
  </si>
  <si>
    <t>ANEXO III</t>
  </si>
  <si>
    <t>CRONOGRAMA FÍSICO- FINANCEIRO</t>
  </si>
  <si>
    <t>DISCRIMINAÇÃO</t>
  </si>
  <si>
    <t>VALOR</t>
  </si>
  <si>
    <t>%</t>
  </si>
  <si>
    <t>30 DIAS</t>
  </si>
  <si>
    <t>TOTAL</t>
  </si>
  <si>
    <t>TOTAL SIMPLES</t>
  </si>
  <si>
    <t>TOTAL ACUMULADO</t>
  </si>
  <si>
    <t>60 DIAS</t>
  </si>
  <si>
    <t>AVENIDA MIGUEL DIAS</t>
  </si>
  <si>
    <t>TRECHO 1</t>
  </si>
  <si>
    <t xml:space="preserve">TOTAL GERAL: </t>
  </si>
  <si>
    <t>TRECHO 2</t>
  </si>
  <si>
    <t>TRECHO 3</t>
  </si>
  <si>
    <t>TRECHO 4</t>
  </si>
  <si>
    <t>TRECHO 5</t>
  </si>
  <si>
    <t>TRECHO 6</t>
  </si>
  <si>
    <t>TRECHO 7</t>
  </si>
  <si>
    <t>TRECHO 8</t>
  </si>
  <si>
    <t>TRECHO 9</t>
  </si>
  <si>
    <t>TRECHO 10</t>
  </si>
  <si>
    <t>TRECHO 11</t>
  </si>
  <si>
    <t>TRECHO 12</t>
  </si>
  <si>
    <t>TRECHO 13</t>
  </si>
  <si>
    <t>2.1.1</t>
  </si>
  <si>
    <t>2.1.2</t>
  </si>
  <si>
    <t>3.1.1</t>
  </si>
  <si>
    <t>3.1.2</t>
  </si>
  <si>
    <t>4.1.1</t>
  </si>
  <si>
    <t>4.1.2</t>
  </si>
  <si>
    <t>5.1.1</t>
  </si>
  <si>
    <t>5.1.2</t>
  </si>
  <si>
    <t>6.1.1</t>
  </si>
  <si>
    <t>6.1.2</t>
  </si>
  <si>
    <t>7.1.1</t>
  </si>
  <si>
    <t>7.1.2</t>
  </si>
  <si>
    <t>8.1.1</t>
  </si>
  <si>
    <t>8.1.2</t>
  </si>
  <si>
    <t>9.1.1</t>
  </si>
  <si>
    <t>9.1.2</t>
  </si>
  <si>
    <t>10.1.1</t>
  </si>
  <si>
    <t>10.1.2</t>
  </si>
  <si>
    <t>11.1.1</t>
  </si>
  <si>
    <t>11.1.2</t>
  </si>
  <si>
    <t>12.1.1</t>
  </si>
  <si>
    <t>12.1.2</t>
  </si>
  <si>
    <t>13.1.1</t>
  </si>
  <si>
    <t>13.1.2</t>
  </si>
  <si>
    <t>PISO INTERTRAVADO EM BLOCOS DE CONCRETO COLORIDO SOBRE COXIM COM PÓ DE PEDRA</t>
  </si>
  <si>
    <t>1.1.3</t>
  </si>
  <si>
    <t>1.1.4</t>
  </si>
  <si>
    <t>ESCAVAÇÃO MANUAL EM CAMPO ABERTO EM TERRA ATÉ 2M</t>
  </si>
  <si>
    <t>M3</t>
  </si>
  <si>
    <t>CARGA MANUAL DE TERRA EM CAMINHÃO BASCULANTE</t>
  </si>
  <si>
    <t>13.1.3</t>
  </si>
  <si>
    <t>13.1.4</t>
  </si>
  <si>
    <t>12.1.3</t>
  </si>
  <si>
    <t>12.1.4</t>
  </si>
  <si>
    <t>11.1.3</t>
  </si>
  <si>
    <t>11.1.4</t>
  </si>
  <si>
    <t>10.1.3</t>
  </si>
  <si>
    <t>10.1.4</t>
  </si>
  <si>
    <t>9.1.3</t>
  </si>
  <si>
    <t>9.1.4</t>
  </si>
  <si>
    <t>8.1.3</t>
  </si>
  <si>
    <t>8.1.4</t>
  </si>
  <si>
    <t>7.1.3</t>
  </si>
  <si>
    <t>7.1.4</t>
  </si>
  <si>
    <t>6.1.3</t>
  </si>
  <si>
    <t>6.1.4</t>
  </si>
  <si>
    <t>5.1.3</t>
  </si>
  <si>
    <t>5.1.4</t>
  </si>
  <si>
    <t>4.1.3</t>
  </si>
  <si>
    <t>4.1.4</t>
  </si>
  <si>
    <t>3.1.3</t>
  </si>
  <si>
    <t>3.1.4</t>
  </si>
  <si>
    <t>2.1.3</t>
  </si>
  <si>
    <t>2.1.4</t>
  </si>
  <si>
    <t>PREÇO</t>
  </si>
  <si>
    <t>PREÇO TOTAL</t>
  </si>
  <si>
    <t>UNID.</t>
  </si>
  <si>
    <t>PISO INTERTRAVADO EM BLOCOS DE CONCRETO NATURAL SOBRE
COXIM COM PÓ DE PEDRA</t>
  </si>
  <si>
    <t>13.1.5</t>
  </si>
  <si>
    <t>12.1.5</t>
  </si>
  <si>
    <t>11.1.5</t>
  </si>
  <si>
    <t>10.1.5</t>
  </si>
  <si>
    <t>9.1.5</t>
  </si>
  <si>
    <t>8.1.5</t>
  </si>
  <si>
    <t>7.1.5</t>
  </si>
  <si>
    <t>6.1.5</t>
  </si>
  <si>
    <t>5.1.5</t>
  </si>
  <si>
    <t>4.1.5</t>
  </si>
  <si>
    <t>3.1.5</t>
  </si>
  <si>
    <t>2.1.5</t>
  </si>
  <si>
    <t>1.1.5</t>
  </si>
  <si>
    <t>TRECHO 14</t>
  </si>
  <si>
    <t>14.1.1</t>
  </si>
  <si>
    <t>14.1.2</t>
  </si>
  <si>
    <t>14.1.3</t>
  </si>
  <si>
    <t>14.1.4</t>
  </si>
  <si>
    <t>14.1.5</t>
  </si>
  <si>
    <t>TRECHO 15</t>
  </si>
  <si>
    <t>90 DIAS</t>
  </si>
  <si>
    <t>MEIO FIO PRÉ MOLDADO EM PÉ (10X30X100) INCL. REJUNTAMENTO</t>
  </si>
  <si>
    <t>IMPORTA O PRESENTE ORÇAMENTO EM R$ 228.807,94 (DUZENTOS E VINTE E OITO MIL OITOCENTOS E SETE REAIS E NOVENTA E QUATRO CENTAVOS).</t>
  </si>
  <si>
    <t>DATA: 18/10/2013</t>
  </si>
  <si>
    <t>ESCAVAÇÃO</t>
  </si>
  <si>
    <t>1.1</t>
  </si>
  <si>
    <t>1.2</t>
  </si>
  <si>
    <t>PISOS</t>
  </si>
  <si>
    <t>1.2.1</t>
  </si>
  <si>
    <t>ESCAVAÇÃO E TRANSPORTE DE MATERIAL</t>
  </si>
  <si>
    <t>TRANSPORTE DE MATERIAL</t>
  </si>
  <si>
    <t>2.1</t>
  </si>
  <si>
    <t>SECRETARIA  REGIONAL - II</t>
  </si>
  <si>
    <t>REFORMA DOS CANTEIROS CENTRAIS DA AV. MIGUEL DIAS</t>
  </si>
  <si>
    <t>BDI (22%):</t>
  </si>
  <si>
    <t xml:space="preserve">TOTAL: </t>
  </si>
  <si>
    <t>IMPORTA O PRESENTE ORÇAMENTO EM R$ 279.145,26 (DUZENTOS E SETENTA E NOVE MIL CENTO E QUARENTA E CINCO REAIS E VINTE E SEIS CENTAVOS).</t>
  </si>
  <si>
    <t>BDI (22%)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</si>
</sst>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\-??_-;_-@_-"/>
    <numFmt numFmtId="165" formatCode="[$R$-416]\ #,##0.00;[Red]\-[$R$-416]\ #,##0.00"/>
    <numFmt numFmtId="166" formatCode="_(* #,##0.00_);_(* \(#,##0.00\);_(* \-??_);_(@_)"/>
    <numFmt numFmtId="167" formatCode="0.0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2" fontId="4" fillId="0" borderId="0" xfId="3" applyNumberFormat="1" applyFont="1" applyFill="1" applyBorder="1" applyAlignment="1" applyProtection="1">
      <alignment horizontal="center" vertical="center"/>
    </xf>
    <xf numFmtId="166" fontId="4" fillId="0" borderId="0" xfId="3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6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/>
    <xf numFmtId="14" fontId="3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3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2" fontId="4" fillId="0" borderId="0" xfId="0" applyNumberFormat="1" applyFont="1"/>
    <xf numFmtId="2" fontId="6" fillId="0" borderId="0" xfId="3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vertical="top"/>
    </xf>
    <xf numFmtId="2" fontId="6" fillId="0" borderId="0" xfId="3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4" fontId="12" fillId="0" borderId="3" xfId="0" applyNumberFormat="1" applyFont="1" applyFill="1" applyBorder="1" applyAlignment="1">
      <alignment horizontal="left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9" fillId="0" borderId="3" xfId="2" quotePrefix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/>
    </xf>
    <xf numFmtId="0" fontId="13" fillId="0" borderId="3" xfId="2" applyFont="1" applyFill="1" applyBorder="1" applyAlignment="1">
      <alignment horizontal="center" vertical="center" wrapText="1"/>
    </xf>
    <xf numFmtId="4" fontId="13" fillId="0" borderId="3" xfId="2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left" vertical="center" wrapText="1"/>
    </xf>
    <xf numFmtId="4" fontId="13" fillId="0" borderId="18" xfId="2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4" fontId="12" fillId="0" borderId="5" xfId="0" applyNumberFormat="1" applyFont="1" applyFill="1" applyBorder="1" applyAlignment="1">
      <alignment horizontal="left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left" vertical="center" wrapText="1"/>
    </xf>
    <xf numFmtId="4" fontId="9" fillId="0" borderId="7" xfId="2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" fontId="11" fillId="2" borderId="20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4" fontId="11" fillId="2" borderId="7" xfId="0" applyNumberFormat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3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166" fontId="3" fillId="0" borderId="3" xfId="3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2" fontId="4" fillId="0" borderId="3" xfId="3" applyNumberFormat="1" applyFont="1" applyFill="1" applyBorder="1" applyAlignment="1" applyProtection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 vertical="center"/>
    </xf>
    <xf numFmtId="167" fontId="4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5" xfId="3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top"/>
    </xf>
    <xf numFmtId="166" fontId="3" fillId="0" borderId="28" xfId="3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/>
    </xf>
    <xf numFmtId="0" fontId="3" fillId="0" borderId="30" xfId="0" applyFont="1" applyBorder="1"/>
    <xf numFmtId="4" fontId="3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2" fontId="4" fillId="0" borderId="30" xfId="3" applyNumberFormat="1" applyFont="1" applyFill="1" applyBorder="1" applyAlignment="1" applyProtection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Border="1"/>
    <xf numFmtId="2" fontId="6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 wrapText="1"/>
    </xf>
    <xf numFmtId="0" fontId="16" fillId="0" borderId="3" xfId="2" applyFont="1" applyFill="1" applyBorder="1" applyAlignment="1">
      <alignment horizontal="left" vertical="center" wrapText="1"/>
    </xf>
    <xf numFmtId="2" fontId="6" fillId="0" borderId="0" xfId="3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5" fillId="0" borderId="0" xfId="3" applyNumberFormat="1" applyFont="1" applyFill="1" applyBorder="1" applyAlignment="1" applyProtection="1">
      <alignment horizontal="center" vertical="center"/>
    </xf>
    <xf numFmtId="2" fontId="6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left" vertical="center" wrapText="1"/>
    </xf>
    <xf numFmtId="4" fontId="9" fillId="0" borderId="33" xfId="2" applyNumberFormat="1" applyFont="1" applyFill="1" applyBorder="1" applyAlignment="1">
      <alignment horizontal="right" vertical="center" wrapText="1"/>
    </xf>
    <xf numFmtId="164" fontId="9" fillId="0" borderId="34" xfId="0" applyNumberFormat="1" applyFont="1" applyFill="1" applyBorder="1" applyAlignment="1">
      <alignment horizontal="right" vertical="center"/>
    </xf>
    <xf numFmtId="164" fontId="11" fillId="2" borderId="34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7" fontId="3" fillId="0" borderId="3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0" xfId="3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166" fontId="4" fillId="0" borderId="3" xfId="3" applyNumberFormat="1" applyFont="1" applyFill="1" applyBorder="1" applyAlignment="1" applyProtection="1">
      <alignment horizontal="center" vertical="center"/>
    </xf>
  </cellXfs>
  <cellStyles count="4">
    <cellStyle name="Excel Built-in Normal" xfId="1"/>
    <cellStyle name="Normal" xfId="0" builtinId="0"/>
    <cellStyle name="Normal 2 2" xfId="2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38100</xdr:rowOff>
    </xdr:from>
    <xdr:to>
      <xdr:col>6</xdr:col>
      <xdr:colOff>1143000</xdr:colOff>
      <xdr:row>4</xdr:row>
      <xdr:rowOff>142875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0" y="428625"/>
          <a:ext cx="1828800" cy="485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100644</xdr:colOff>
      <xdr:row>128</xdr:row>
      <xdr:rowOff>55964</xdr:rowOff>
    </xdr:from>
    <xdr:to>
      <xdr:col>2</xdr:col>
      <xdr:colOff>1319239</xdr:colOff>
      <xdr:row>132</xdr:row>
      <xdr:rowOff>16339</xdr:rowOff>
    </xdr:to>
    <xdr:pic>
      <xdr:nvPicPr>
        <xdr:cNvPr id="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644" y="28855082"/>
          <a:ext cx="2641742" cy="67755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0</xdr:rowOff>
    </xdr:from>
    <xdr:to>
      <xdr:col>10</xdr:col>
      <xdr:colOff>657225</xdr:colOff>
      <xdr:row>4</xdr:row>
      <xdr:rowOff>9525</xdr:rowOff>
    </xdr:to>
    <xdr:pic>
      <xdr:nvPicPr>
        <xdr:cNvPr id="4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" y="0"/>
          <a:ext cx="5438775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85725</xdr:colOff>
      <xdr:row>36</xdr:row>
      <xdr:rowOff>19050</xdr:rowOff>
    </xdr:from>
    <xdr:to>
      <xdr:col>5</xdr:col>
      <xdr:colOff>257175</xdr:colOff>
      <xdr:row>40</xdr:row>
      <xdr:rowOff>114300</xdr:rowOff>
    </xdr:to>
    <xdr:pic>
      <xdr:nvPicPr>
        <xdr:cNvPr id="5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6448425"/>
          <a:ext cx="3619500" cy="742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38100</xdr:rowOff>
    </xdr:from>
    <xdr:to>
      <xdr:col>6</xdr:col>
      <xdr:colOff>1143000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39100" y="409575"/>
          <a:ext cx="1905000" cy="485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245013</xdr:colOff>
      <xdr:row>40</xdr:row>
      <xdr:rowOff>135900</xdr:rowOff>
    </xdr:from>
    <xdr:to>
      <xdr:col>2</xdr:col>
      <xdr:colOff>1463608</xdr:colOff>
      <xdr:row>44</xdr:row>
      <xdr:rowOff>96274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013" y="8079750"/>
          <a:ext cx="2637820" cy="68427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0</xdr:rowOff>
    </xdr:from>
    <xdr:to>
      <xdr:col>12</xdr:col>
      <xdr:colOff>657225</xdr:colOff>
      <xdr:row>4</xdr:row>
      <xdr:rowOff>9525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6858000" cy="771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85725</xdr:colOff>
      <xdr:row>23</xdr:row>
      <xdr:rowOff>19050</xdr:rowOff>
    </xdr:from>
    <xdr:to>
      <xdr:col>7</xdr:col>
      <xdr:colOff>257175</xdr:colOff>
      <xdr:row>27</xdr:row>
      <xdr:rowOff>114300</xdr:rowOff>
    </xdr:to>
    <xdr:pic>
      <xdr:nvPicPr>
        <xdr:cNvPr id="3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5867400"/>
          <a:ext cx="4581525" cy="8572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showGridLines="0" view="pageBreakPreview" zoomScale="85" zoomScaleNormal="100" zoomScaleSheetLayoutView="85" workbookViewId="0">
      <pane ySplit="9" topLeftCell="A109" activePane="bottomLeft" state="frozen"/>
      <selection pane="bottomLeft" activeCell="B7" sqref="B7:G7"/>
    </sheetView>
  </sheetViews>
  <sheetFormatPr defaultRowHeight="14.25" x14ac:dyDescent="0.25"/>
  <cols>
    <col min="1" max="1" width="8" style="39" customWidth="1"/>
    <col min="2" max="2" width="13.28515625" style="39" customWidth="1"/>
    <col min="3" max="3" width="79.140625" style="29" customWidth="1"/>
    <col min="4" max="4" width="9.140625" style="29"/>
    <col min="5" max="5" width="10.28515625" style="40" customWidth="1"/>
    <col min="6" max="6" width="12.140625" style="40" customWidth="1"/>
    <col min="7" max="7" width="18.28515625" style="40" customWidth="1"/>
    <col min="8" max="8" width="2.85546875" style="28" customWidth="1"/>
    <col min="9" max="11" width="0" style="29" hidden="1" customWidth="1"/>
    <col min="12" max="12" width="9.140625" style="29"/>
    <col min="13" max="13" width="12" style="29" customWidth="1"/>
    <col min="14" max="16384" width="9.140625" style="29"/>
  </cols>
  <sheetData>
    <row r="1" spans="1:10" x14ac:dyDescent="0.25">
      <c r="A1" s="25"/>
      <c r="B1" s="25"/>
      <c r="C1" s="24"/>
      <c r="D1" s="24"/>
      <c r="E1" s="26"/>
      <c r="F1" s="26"/>
      <c r="G1" s="27"/>
    </row>
    <row r="2" spans="1:10" ht="15" customHeight="1" x14ac:dyDescent="0.25">
      <c r="A2" s="129" t="s">
        <v>118</v>
      </c>
      <c r="B2" s="130"/>
      <c r="C2" s="130"/>
      <c r="D2" s="130"/>
      <c r="E2" s="130"/>
      <c r="F2" s="130"/>
      <c r="G2" s="131"/>
    </row>
    <row r="3" spans="1:10" ht="15" customHeight="1" x14ac:dyDescent="0.25">
      <c r="A3" s="132"/>
      <c r="B3" s="133"/>
      <c r="C3" s="133"/>
      <c r="D3" s="133"/>
      <c r="E3" s="133"/>
      <c r="F3" s="133"/>
      <c r="G3" s="134"/>
    </row>
    <row r="4" spans="1:10" ht="15" customHeight="1" x14ac:dyDescent="0.25">
      <c r="A4" s="132" t="s">
        <v>0</v>
      </c>
      <c r="B4" s="133"/>
      <c r="C4" s="133"/>
      <c r="D4" s="133"/>
      <c r="E4" s="133"/>
      <c r="F4" s="133"/>
      <c r="G4" s="134"/>
    </row>
    <row r="5" spans="1:10" ht="18.75" customHeight="1" x14ac:dyDescent="0.25">
      <c r="A5" s="135"/>
      <c r="B5" s="136"/>
      <c r="C5" s="136"/>
      <c r="D5" s="136"/>
      <c r="E5" s="136"/>
      <c r="F5" s="136"/>
      <c r="G5" s="137"/>
    </row>
    <row r="6" spans="1:10" ht="15" customHeight="1" x14ac:dyDescent="0.25">
      <c r="A6" s="34" t="s">
        <v>1</v>
      </c>
      <c r="B6" s="127" t="s">
        <v>128</v>
      </c>
      <c r="C6" s="127"/>
      <c r="D6" s="127"/>
      <c r="E6" s="127"/>
      <c r="F6" s="127"/>
      <c r="G6" s="127"/>
    </row>
    <row r="7" spans="1:10" ht="15" customHeight="1" x14ac:dyDescent="0.25">
      <c r="A7" s="34" t="s">
        <v>2</v>
      </c>
      <c r="B7" s="127" t="s">
        <v>22</v>
      </c>
      <c r="C7" s="127"/>
      <c r="D7" s="127"/>
      <c r="E7" s="127"/>
      <c r="F7" s="127"/>
      <c r="G7" s="127"/>
    </row>
    <row r="8" spans="1:10" x14ac:dyDescent="0.25">
      <c r="A8" s="30"/>
      <c r="B8" s="31"/>
      <c r="C8" s="31"/>
      <c r="D8" s="31"/>
      <c r="E8" s="31"/>
      <c r="F8" s="31"/>
      <c r="G8" s="32"/>
    </row>
    <row r="9" spans="1:10" s="39" customFormat="1" ht="15" customHeight="1" x14ac:dyDescent="0.25">
      <c r="A9" s="78" t="s">
        <v>3</v>
      </c>
      <c r="B9" s="78" t="s">
        <v>4</v>
      </c>
      <c r="C9" s="78" t="s">
        <v>5</v>
      </c>
      <c r="D9" s="78" t="s">
        <v>93</v>
      </c>
      <c r="E9" s="79" t="s">
        <v>6</v>
      </c>
      <c r="F9" s="79" t="s">
        <v>91</v>
      </c>
      <c r="G9" s="79" t="s">
        <v>92</v>
      </c>
      <c r="H9" s="80"/>
    </row>
    <row r="10" spans="1:10" ht="15" x14ac:dyDescent="0.25">
      <c r="A10" s="34">
        <v>1</v>
      </c>
      <c r="B10" s="34"/>
      <c r="C10" s="35" t="s">
        <v>23</v>
      </c>
      <c r="D10" s="44"/>
      <c r="E10" s="45"/>
      <c r="F10" s="46"/>
      <c r="G10" s="46"/>
    </row>
    <row r="11" spans="1:10" x14ac:dyDescent="0.2">
      <c r="A11" s="81" t="s">
        <v>10</v>
      </c>
      <c r="B11" s="47">
        <v>140030009</v>
      </c>
      <c r="C11" s="48" t="s">
        <v>116</v>
      </c>
      <c r="D11" s="38" t="s">
        <v>9</v>
      </c>
      <c r="E11" s="49">
        <f>(125.5+3.8)*2.5</f>
        <v>323.25</v>
      </c>
      <c r="F11" s="49">
        <v>12.23</v>
      </c>
      <c r="G11" s="50">
        <f>ROUND(E11*F11,2)</f>
        <v>3953.35</v>
      </c>
      <c r="H11" s="36"/>
      <c r="J11" s="29">
        <v>3.2</v>
      </c>
    </row>
    <row r="12" spans="1:10" ht="28.5" x14ac:dyDescent="0.2">
      <c r="A12" s="81" t="s">
        <v>11</v>
      </c>
      <c r="B12" s="51">
        <v>140030030</v>
      </c>
      <c r="C12" s="48" t="s">
        <v>61</v>
      </c>
      <c r="D12" s="51" t="s">
        <v>7</v>
      </c>
      <c r="E12" s="52">
        <v>238.45</v>
      </c>
      <c r="F12" s="52">
        <v>34.42</v>
      </c>
      <c r="G12" s="50">
        <f t="shared" ref="G12:G15" si="0">ROUND(E12*F12,2)</f>
        <v>8207.4500000000007</v>
      </c>
      <c r="H12" s="36"/>
    </row>
    <row r="13" spans="1:10" ht="28.5" x14ac:dyDescent="0.2">
      <c r="A13" s="81" t="s">
        <v>62</v>
      </c>
      <c r="B13" s="51">
        <v>140030031</v>
      </c>
      <c r="C13" s="48" t="s">
        <v>94</v>
      </c>
      <c r="D13" s="51" t="s">
        <v>7</v>
      </c>
      <c r="E13" s="52">
        <f>E12</f>
        <v>238.45</v>
      </c>
      <c r="F13" s="52">
        <v>30.71</v>
      </c>
      <c r="G13" s="50">
        <f t="shared" si="0"/>
        <v>7322.8</v>
      </c>
      <c r="H13" s="36"/>
    </row>
    <row r="14" spans="1:10" x14ac:dyDescent="0.2">
      <c r="A14" s="81" t="s">
        <v>63</v>
      </c>
      <c r="B14" s="51">
        <v>20010007</v>
      </c>
      <c r="C14" s="48" t="s">
        <v>64</v>
      </c>
      <c r="D14" s="51" t="s">
        <v>65</v>
      </c>
      <c r="E14" s="52">
        <f>(E12*2)*0.2</f>
        <v>95.38</v>
      </c>
      <c r="F14" s="52">
        <v>19.3</v>
      </c>
      <c r="G14" s="50">
        <f t="shared" si="0"/>
        <v>1840.83</v>
      </c>
      <c r="H14" s="36"/>
    </row>
    <row r="15" spans="1:10" x14ac:dyDescent="0.2">
      <c r="A15" s="81" t="s">
        <v>107</v>
      </c>
      <c r="B15" s="55">
        <v>20040006</v>
      </c>
      <c r="C15" s="56" t="s">
        <v>66</v>
      </c>
      <c r="D15" s="55" t="s">
        <v>65</v>
      </c>
      <c r="E15" s="57">
        <f>E14</f>
        <v>95.38</v>
      </c>
      <c r="F15" s="57">
        <v>8.93</v>
      </c>
      <c r="G15" s="50">
        <f t="shared" si="0"/>
        <v>851.74</v>
      </c>
      <c r="H15" s="36"/>
    </row>
    <row r="16" spans="1:10" ht="15" x14ac:dyDescent="0.25">
      <c r="A16" s="82"/>
      <c r="B16" s="73"/>
      <c r="C16" s="74"/>
      <c r="D16" s="75"/>
      <c r="E16" s="76"/>
      <c r="F16" s="77" t="s">
        <v>8</v>
      </c>
      <c r="G16" s="54">
        <f>SUM(G11:G15)</f>
        <v>22176.17</v>
      </c>
      <c r="H16" s="37"/>
    </row>
    <row r="17" spans="1:10" ht="15" x14ac:dyDescent="0.25">
      <c r="A17" s="33">
        <v>2</v>
      </c>
      <c r="B17" s="33"/>
      <c r="C17" s="58" t="s">
        <v>25</v>
      </c>
      <c r="D17" s="59"/>
      <c r="E17" s="60"/>
      <c r="F17" s="61"/>
      <c r="G17" s="46"/>
    </row>
    <row r="18" spans="1:10" x14ac:dyDescent="0.2">
      <c r="A18" s="81" t="s">
        <v>37</v>
      </c>
      <c r="B18" s="47">
        <v>140030009</v>
      </c>
      <c r="C18" s="48" t="s">
        <v>116</v>
      </c>
      <c r="D18" s="38" t="s">
        <v>9</v>
      </c>
      <c r="E18" s="49">
        <f>(30.15+3.8)*2.5</f>
        <v>84.88</v>
      </c>
      <c r="F18" s="49">
        <v>12.23</v>
      </c>
      <c r="G18" s="50">
        <f>ROUND(E18*F18,2)</f>
        <v>1038.08</v>
      </c>
      <c r="H18" s="36"/>
      <c r="J18" s="29">
        <v>3.2</v>
      </c>
    </row>
    <row r="19" spans="1:10" ht="28.5" x14ac:dyDescent="0.2">
      <c r="A19" s="81" t="s">
        <v>38</v>
      </c>
      <c r="B19" s="51">
        <v>140030030</v>
      </c>
      <c r="C19" s="48" t="s">
        <v>61</v>
      </c>
      <c r="D19" s="51" t="s">
        <v>7</v>
      </c>
      <c r="E19" s="52">
        <v>57.29</v>
      </c>
      <c r="F19" s="52">
        <v>34.42</v>
      </c>
      <c r="G19" s="50">
        <f t="shared" ref="G19:G22" si="1">ROUND(E19*F19,2)</f>
        <v>1971.92</v>
      </c>
      <c r="H19" s="36"/>
    </row>
    <row r="20" spans="1:10" ht="28.5" x14ac:dyDescent="0.2">
      <c r="A20" s="81" t="s">
        <v>89</v>
      </c>
      <c r="B20" s="51">
        <v>140030031</v>
      </c>
      <c r="C20" s="48" t="s">
        <v>94</v>
      </c>
      <c r="D20" s="51" t="s">
        <v>7</v>
      </c>
      <c r="E20" s="52">
        <f>E19</f>
        <v>57.29</v>
      </c>
      <c r="F20" s="52">
        <v>30.71</v>
      </c>
      <c r="G20" s="50">
        <f t="shared" si="1"/>
        <v>1759.38</v>
      </c>
      <c r="H20" s="36"/>
    </row>
    <row r="21" spans="1:10" x14ac:dyDescent="0.2">
      <c r="A21" s="81" t="s">
        <v>90</v>
      </c>
      <c r="B21" s="51">
        <v>20010007</v>
      </c>
      <c r="C21" s="48" t="s">
        <v>64</v>
      </c>
      <c r="D21" s="51" t="s">
        <v>65</v>
      </c>
      <c r="E21" s="52">
        <f>E20*2*0.2</f>
        <v>22.92</v>
      </c>
      <c r="F21" s="52">
        <v>19.3</v>
      </c>
      <c r="G21" s="50">
        <f t="shared" si="1"/>
        <v>442.36</v>
      </c>
      <c r="H21" s="36"/>
    </row>
    <row r="22" spans="1:10" x14ac:dyDescent="0.2">
      <c r="A22" s="81" t="s">
        <v>106</v>
      </c>
      <c r="B22" s="51">
        <v>20040006</v>
      </c>
      <c r="C22" s="48" t="s">
        <v>66</v>
      </c>
      <c r="D22" s="51" t="s">
        <v>65</v>
      </c>
      <c r="E22" s="52">
        <f>E21</f>
        <v>22.92</v>
      </c>
      <c r="F22" s="52">
        <v>8.93</v>
      </c>
      <c r="G22" s="50">
        <f t="shared" si="1"/>
        <v>204.68</v>
      </c>
      <c r="H22" s="36"/>
    </row>
    <row r="23" spans="1:10" ht="15" x14ac:dyDescent="0.25">
      <c r="A23" s="82"/>
      <c r="B23" s="73"/>
      <c r="C23" s="74"/>
      <c r="D23" s="75"/>
      <c r="E23" s="76"/>
      <c r="F23" s="77" t="s">
        <v>8</v>
      </c>
      <c r="G23" s="53">
        <f>SUM(G18:G22)</f>
        <v>5416.42</v>
      </c>
      <c r="H23" s="37"/>
    </row>
    <row r="24" spans="1:10" ht="15" x14ac:dyDescent="0.25">
      <c r="A24" s="34">
        <v>3</v>
      </c>
      <c r="B24" s="34"/>
      <c r="C24" s="35" t="s">
        <v>26</v>
      </c>
      <c r="D24" s="44"/>
      <c r="E24" s="45"/>
      <c r="F24" s="46"/>
      <c r="G24" s="46"/>
    </row>
    <row r="25" spans="1:10" x14ac:dyDescent="0.2">
      <c r="A25" s="81" t="s">
        <v>39</v>
      </c>
      <c r="B25" s="47">
        <v>140030009</v>
      </c>
      <c r="C25" s="48" t="s">
        <v>116</v>
      </c>
      <c r="D25" s="38" t="s">
        <v>9</v>
      </c>
      <c r="E25" s="49">
        <f>(63.6+3.8)*2.5</f>
        <v>168.5</v>
      </c>
      <c r="F25" s="49">
        <v>12.23</v>
      </c>
      <c r="G25" s="50">
        <f>ROUND(E25*F25,2)</f>
        <v>2060.7600000000002</v>
      </c>
      <c r="H25" s="36"/>
      <c r="J25" s="29">
        <v>3.2</v>
      </c>
    </row>
    <row r="26" spans="1:10" ht="28.5" x14ac:dyDescent="0.2">
      <c r="A26" s="81" t="s">
        <v>40</v>
      </c>
      <c r="B26" s="51">
        <v>140030030</v>
      </c>
      <c r="C26" s="48" t="s">
        <v>61</v>
      </c>
      <c r="D26" s="51" t="s">
        <v>7</v>
      </c>
      <c r="E26" s="52">
        <v>120.84</v>
      </c>
      <c r="F26" s="52">
        <v>34.42</v>
      </c>
      <c r="G26" s="50">
        <f t="shared" ref="G26:G29" si="2">ROUND(E26*F26,2)</f>
        <v>4159.3100000000004</v>
      </c>
      <c r="H26" s="36"/>
    </row>
    <row r="27" spans="1:10" ht="28.5" x14ac:dyDescent="0.2">
      <c r="A27" s="81" t="s">
        <v>87</v>
      </c>
      <c r="B27" s="51">
        <v>140030031</v>
      </c>
      <c r="C27" s="48" t="s">
        <v>94</v>
      </c>
      <c r="D27" s="51" t="s">
        <v>7</v>
      </c>
      <c r="E27" s="52">
        <f>E26</f>
        <v>120.84</v>
      </c>
      <c r="F27" s="52">
        <v>30.71</v>
      </c>
      <c r="G27" s="50">
        <f t="shared" si="2"/>
        <v>3711</v>
      </c>
      <c r="H27" s="36"/>
    </row>
    <row r="28" spans="1:10" x14ac:dyDescent="0.2">
      <c r="A28" s="81" t="s">
        <v>88</v>
      </c>
      <c r="B28" s="51">
        <v>20010007</v>
      </c>
      <c r="C28" s="48" t="s">
        <v>64</v>
      </c>
      <c r="D28" s="51" t="s">
        <v>65</v>
      </c>
      <c r="E28" s="52">
        <f>E27*2*0.2</f>
        <v>48.34</v>
      </c>
      <c r="F28" s="52">
        <v>19.3</v>
      </c>
      <c r="G28" s="50">
        <f t="shared" si="2"/>
        <v>932.96</v>
      </c>
      <c r="H28" s="36"/>
    </row>
    <row r="29" spans="1:10" x14ac:dyDescent="0.2">
      <c r="A29" s="81" t="s">
        <v>105</v>
      </c>
      <c r="B29" s="51">
        <v>20040006</v>
      </c>
      <c r="C29" s="48" t="s">
        <v>66</v>
      </c>
      <c r="D29" s="51" t="s">
        <v>65</v>
      </c>
      <c r="E29" s="52">
        <f>E28</f>
        <v>48.34</v>
      </c>
      <c r="F29" s="52">
        <v>8.93</v>
      </c>
      <c r="G29" s="50">
        <f t="shared" si="2"/>
        <v>431.68</v>
      </c>
      <c r="H29" s="36"/>
    </row>
    <row r="30" spans="1:10" ht="15" x14ac:dyDescent="0.25">
      <c r="A30" s="82"/>
      <c r="B30" s="73"/>
      <c r="C30" s="74"/>
      <c r="D30" s="75"/>
      <c r="E30" s="76"/>
      <c r="F30" s="77" t="s">
        <v>8</v>
      </c>
      <c r="G30" s="53">
        <f>SUM(G25:G29)</f>
        <v>11295.71</v>
      </c>
      <c r="H30" s="37"/>
    </row>
    <row r="31" spans="1:10" ht="15" x14ac:dyDescent="0.25">
      <c r="A31" s="34">
        <v>4</v>
      </c>
      <c r="B31" s="34"/>
      <c r="C31" s="35" t="s">
        <v>27</v>
      </c>
      <c r="D31" s="44"/>
      <c r="E31" s="45"/>
      <c r="F31" s="46"/>
      <c r="G31" s="46"/>
    </row>
    <row r="32" spans="1:10" x14ac:dyDescent="0.2">
      <c r="A32" s="81" t="s">
        <v>41</v>
      </c>
      <c r="B32" s="47">
        <v>140030009</v>
      </c>
      <c r="C32" s="48" t="s">
        <v>116</v>
      </c>
      <c r="D32" s="38" t="s">
        <v>9</v>
      </c>
      <c r="E32" s="49">
        <f>(119.5+3.8)*2.5</f>
        <v>308.25</v>
      </c>
      <c r="F32" s="49">
        <v>12.23</v>
      </c>
      <c r="G32" s="50">
        <f>ROUND(E32*F32,2)</f>
        <v>3769.9</v>
      </c>
      <c r="H32" s="36"/>
      <c r="J32" s="29">
        <v>3.2</v>
      </c>
    </row>
    <row r="33" spans="1:10" ht="28.5" x14ac:dyDescent="0.2">
      <c r="A33" s="81" t="s">
        <v>42</v>
      </c>
      <c r="B33" s="51">
        <v>140030030</v>
      </c>
      <c r="C33" s="48" t="s">
        <v>61</v>
      </c>
      <c r="D33" s="51" t="s">
        <v>7</v>
      </c>
      <c r="E33" s="52">
        <v>227.05</v>
      </c>
      <c r="F33" s="52">
        <v>34.42</v>
      </c>
      <c r="G33" s="50">
        <f t="shared" ref="G33:G36" si="3">ROUND(E33*F33,2)</f>
        <v>7815.06</v>
      </c>
      <c r="H33" s="36"/>
    </row>
    <row r="34" spans="1:10" ht="28.5" x14ac:dyDescent="0.2">
      <c r="A34" s="81" t="s">
        <v>85</v>
      </c>
      <c r="B34" s="51">
        <v>140030031</v>
      </c>
      <c r="C34" s="48" t="s">
        <v>94</v>
      </c>
      <c r="D34" s="51" t="s">
        <v>7</v>
      </c>
      <c r="E34" s="52">
        <f>E33</f>
        <v>227.05</v>
      </c>
      <c r="F34" s="52">
        <v>30.71</v>
      </c>
      <c r="G34" s="50">
        <f t="shared" si="3"/>
        <v>6972.71</v>
      </c>
      <c r="H34" s="36"/>
    </row>
    <row r="35" spans="1:10" x14ac:dyDescent="0.2">
      <c r="A35" s="81" t="s">
        <v>86</v>
      </c>
      <c r="B35" s="51">
        <v>20010007</v>
      </c>
      <c r="C35" s="48" t="s">
        <v>64</v>
      </c>
      <c r="D35" s="51" t="s">
        <v>65</v>
      </c>
      <c r="E35" s="52">
        <f>E33*2*0.2</f>
        <v>90.82</v>
      </c>
      <c r="F35" s="52">
        <v>19.3</v>
      </c>
      <c r="G35" s="50">
        <f t="shared" si="3"/>
        <v>1752.83</v>
      </c>
      <c r="H35" s="36"/>
    </row>
    <row r="36" spans="1:10" x14ac:dyDescent="0.2">
      <c r="A36" s="81" t="s">
        <v>104</v>
      </c>
      <c r="B36" s="51">
        <v>20040006</v>
      </c>
      <c r="C36" s="48" t="s">
        <v>66</v>
      </c>
      <c r="D36" s="51" t="s">
        <v>65</v>
      </c>
      <c r="E36" s="52">
        <f>E35</f>
        <v>90.82</v>
      </c>
      <c r="F36" s="52">
        <v>8.93</v>
      </c>
      <c r="G36" s="50">
        <f t="shared" si="3"/>
        <v>811.02</v>
      </c>
      <c r="H36" s="36"/>
    </row>
    <row r="37" spans="1:10" ht="15" x14ac:dyDescent="0.25">
      <c r="A37" s="82"/>
      <c r="B37" s="73"/>
      <c r="C37" s="74"/>
      <c r="D37" s="75"/>
      <c r="E37" s="76"/>
      <c r="F37" s="77" t="s">
        <v>8</v>
      </c>
      <c r="G37" s="53">
        <f>SUM(G32:G36)</f>
        <v>21121.52</v>
      </c>
      <c r="H37" s="37"/>
    </row>
    <row r="38" spans="1:10" ht="15" x14ac:dyDescent="0.25">
      <c r="A38" s="34">
        <v>5</v>
      </c>
      <c r="B38" s="34"/>
      <c r="C38" s="35" t="s">
        <v>28</v>
      </c>
      <c r="D38" s="44"/>
      <c r="E38" s="45"/>
      <c r="F38" s="46"/>
      <c r="G38" s="46"/>
    </row>
    <row r="39" spans="1:10" x14ac:dyDescent="0.2">
      <c r="A39" s="81" t="s">
        <v>43</v>
      </c>
      <c r="B39" s="47">
        <v>140030009</v>
      </c>
      <c r="C39" s="48" t="s">
        <v>116</v>
      </c>
      <c r="D39" s="38" t="s">
        <v>9</v>
      </c>
      <c r="E39" s="49">
        <f>(202.8+3.8)*2.5</f>
        <v>516.5</v>
      </c>
      <c r="F39" s="49">
        <v>12.23</v>
      </c>
      <c r="G39" s="50">
        <f>ROUND(E39*F39,2)</f>
        <v>6316.8</v>
      </c>
      <c r="H39" s="36"/>
      <c r="J39" s="29">
        <v>3.2</v>
      </c>
    </row>
    <row r="40" spans="1:10" ht="28.5" x14ac:dyDescent="0.2">
      <c r="A40" s="81" t="s">
        <v>44</v>
      </c>
      <c r="B40" s="51">
        <v>140030030</v>
      </c>
      <c r="C40" s="48" t="s">
        <v>61</v>
      </c>
      <c r="D40" s="51" t="s">
        <v>7</v>
      </c>
      <c r="E40" s="52">
        <v>385.32</v>
      </c>
      <c r="F40" s="52">
        <v>34.42</v>
      </c>
      <c r="G40" s="50">
        <f t="shared" ref="G40:G43" si="4">ROUND(E40*F40,2)</f>
        <v>13262.71</v>
      </c>
      <c r="H40" s="36"/>
    </row>
    <row r="41" spans="1:10" ht="28.5" x14ac:dyDescent="0.2">
      <c r="A41" s="81" t="s">
        <v>83</v>
      </c>
      <c r="B41" s="51">
        <v>140030031</v>
      </c>
      <c r="C41" s="48" t="s">
        <v>94</v>
      </c>
      <c r="D41" s="51" t="s">
        <v>7</v>
      </c>
      <c r="E41" s="52">
        <f>E40</f>
        <v>385.32</v>
      </c>
      <c r="F41" s="52">
        <v>30.71</v>
      </c>
      <c r="G41" s="50">
        <f t="shared" si="4"/>
        <v>11833.18</v>
      </c>
      <c r="H41" s="36"/>
    </row>
    <row r="42" spans="1:10" x14ac:dyDescent="0.2">
      <c r="A42" s="81" t="s">
        <v>84</v>
      </c>
      <c r="B42" s="51">
        <v>20010007</v>
      </c>
      <c r="C42" s="48" t="s">
        <v>64</v>
      </c>
      <c r="D42" s="51" t="s">
        <v>65</v>
      </c>
      <c r="E42" s="52">
        <f>E40*2*0.2</f>
        <v>154.13</v>
      </c>
      <c r="F42" s="52">
        <v>19.3</v>
      </c>
      <c r="G42" s="50">
        <f t="shared" si="4"/>
        <v>2974.71</v>
      </c>
      <c r="H42" s="36"/>
    </row>
    <row r="43" spans="1:10" x14ac:dyDescent="0.2">
      <c r="A43" s="81" t="s">
        <v>103</v>
      </c>
      <c r="B43" s="51">
        <v>20040006</v>
      </c>
      <c r="C43" s="48" t="s">
        <v>66</v>
      </c>
      <c r="D43" s="51" t="s">
        <v>65</v>
      </c>
      <c r="E43" s="52">
        <f>E42</f>
        <v>154.13</v>
      </c>
      <c r="F43" s="52">
        <v>8.93</v>
      </c>
      <c r="G43" s="50">
        <f t="shared" si="4"/>
        <v>1376.38</v>
      </c>
      <c r="H43" s="36"/>
    </row>
    <row r="44" spans="1:10" ht="15" x14ac:dyDescent="0.25">
      <c r="A44" s="82"/>
      <c r="B44" s="73"/>
      <c r="C44" s="74"/>
      <c r="D44" s="75"/>
      <c r="E44" s="76"/>
      <c r="F44" s="77" t="s">
        <v>8</v>
      </c>
      <c r="G44" s="53">
        <f>SUM(G39:G43)</f>
        <v>35763.78</v>
      </c>
      <c r="H44" s="37"/>
    </row>
    <row r="45" spans="1:10" ht="15" x14ac:dyDescent="0.25">
      <c r="A45" s="34">
        <v>6</v>
      </c>
      <c r="B45" s="34"/>
      <c r="C45" s="35" t="s">
        <v>29</v>
      </c>
      <c r="D45" s="44"/>
      <c r="E45" s="45"/>
      <c r="F45" s="46"/>
      <c r="G45" s="46"/>
    </row>
    <row r="46" spans="1:10" x14ac:dyDescent="0.2">
      <c r="A46" s="81" t="s">
        <v>45</v>
      </c>
      <c r="B46" s="47">
        <v>140030009</v>
      </c>
      <c r="C46" s="48" t="s">
        <v>116</v>
      </c>
      <c r="D46" s="38" t="s">
        <v>9</v>
      </c>
      <c r="E46" s="49">
        <f>(130.25+3.8)*2.5</f>
        <v>335.13</v>
      </c>
      <c r="F46" s="49">
        <v>12.23</v>
      </c>
      <c r="G46" s="50">
        <f>ROUND(E46*F46,2)</f>
        <v>4098.6400000000003</v>
      </c>
      <c r="H46" s="36"/>
      <c r="J46" s="29">
        <v>3.2</v>
      </c>
    </row>
    <row r="47" spans="1:10" ht="28.5" x14ac:dyDescent="0.2">
      <c r="A47" s="81" t="s">
        <v>46</v>
      </c>
      <c r="B47" s="51">
        <v>140030030</v>
      </c>
      <c r="C47" s="48" t="s">
        <v>61</v>
      </c>
      <c r="D47" s="51" t="s">
        <v>7</v>
      </c>
      <c r="E47" s="52">
        <v>247.48</v>
      </c>
      <c r="F47" s="52">
        <v>34.42</v>
      </c>
      <c r="G47" s="50">
        <f t="shared" ref="G47:G50" si="5">ROUND(E47*F47,2)</f>
        <v>8518.26</v>
      </c>
      <c r="H47" s="36"/>
    </row>
    <row r="48" spans="1:10" ht="28.5" x14ac:dyDescent="0.2">
      <c r="A48" s="81" t="s">
        <v>81</v>
      </c>
      <c r="B48" s="51">
        <v>140030031</v>
      </c>
      <c r="C48" s="48" t="s">
        <v>94</v>
      </c>
      <c r="D48" s="51" t="s">
        <v>7</v>
      </c>
      <c r="E48" s="52">
        <f>E47</f>
        <v>247.48</v>
      </c>
      <c r="F48" s="52">
        <v>30.71</v>
      </c>
      <c r="G48" s="50">
        <f t="shared" si="5"/>
        <v>7600.11</v>
      </c>
      <c r="H48" s="36"/>
    </row>
    <row r="49" spans="1:10" x14ac:dyDescent="0.2">
      <c r="A49" s="81" t="s">
        <v>82</v>
      </c>
      <c r="B49" s="51">
        <v>20010007</v>
      </c>
      <c r="C49" s="48" t="s">
        <v>64</v>
      </c>
      <c r="D49" s="51" t="s">
        <v>65</v>
      </c>
      <c r="E49" s="52">
        <f>E47*2*0.2</f>
        <v>98.99</v>
      </c>
      <c r="F49" s="52">
        <v>19.3</v>
      </c>
      <c r="G49" s="50">
        <f t="shared" si="5"/>
        <v>1910.51</v>
      </c>
      <c r="H49" s="36"/>
    </row>
    <row r="50" spans="1:10" x14ac:dyDescent="0.2">
      <c r="A50" s="81" t="s">
        <v>102</v>
      </c>
      <c r="B50" s="51">
        <v>20040006</v>
      </c>
      <c r="C50" s="48" t="s">
        <v>66</v>
      </c>
      <c r="D50" s="51" t="s">
        <v>65</v>
      </c>
      <c r="E50" s="52">
        <f>E49</f>
        <v>98.99</v>
      </c>
      <c r="F50" s="52">
        <v>8.93</v>
      </c>
      <c r="G50" s="50">
        <f t="shared" si="5"/>
        <v>883.98</v>
      </c>
      <c r="H50" s="36"/>
    </row>
    <row r="51" spans="1:10" ht="15" x14ac:dyDescent="0.25">
      <c r="A51" s="82"/>
      <c r="B51" s="73"/>
      <c r="C51" s="74"/>
      <c r="D51" s="75"/>
      <c r="E51" s="76"/>
      <c r="F51" s="77" t="s">
        <v>8</v>
      </c>
      <c r="G51" s="53">
        <f>SUM(G46:G50)</f>
        <v>23011.5</v>
      </c>
      <c r="H51" s="37"/>
    </row>
    <row r="52" spans="1:10" ht="15" x14ac:dyDescent="0.25">
      <c r="A52" s="34">
        <v>7</v>
      </c>
      <c r="B52" s="34"/>
      <c r="C52" s="35" t="s">
        <v>30</v>
      </c>
      <c r="D52" s="44"/>
      <c r="E52" s="45"/>
      <c r="F52" s="46"/>
      <c r="G52" s="46"/>
    </row>
    <row r="53" spans="1:10" x14ac:dyDescent="0.2">
      <c r="A53" s="81" t="s">
        <v>47</v>
      </c>
      <c r="B53" s="47">
        <v>140030009</v>
      </c>
      <c r="C53" s="48" t="s">
        <v>116</v>
      </c>
      <c r="D53" s="38" t="s">
        <v>9</v>
      </c>
      <c r="E53" s="49">
        <f>(70.2+3.8)*2.5</f>
        <v>185</v>
      </c>
      <c r="F53" s="49">
        <v>12.23</v>
      </c>
      <c r="G53" s="50">
        <f>ROUND(E53*F53,2)</f>
        <v>2262.5500000000002</v>
      </c>
      <c r="H53" s="36"/>
      <c r="J53" s="29">
        <v>3.2</v>
      </c>
    </row>
    <row r="54" spans="1:10" ht="28.5" x14ac:dyDescent="0.2">
      <c r="A54" s="81" t="s">
        <v>48</v>
      </c>
      <c r="B54" s="51">
        <v>140030030</v>
      </c>
      <c r="C54" s="48" t="s">
        <v>61</v>
      </c>
      <c r="D54" s="51" t="s">
        <v>7</v>
      </c>
      <c r="E54" s="52">
        <v>133.38</v>
      </c>
      <c r="F54" s="52">
        <v>34.42</v>
      </c>
      <c r="G54" s="50">
        <f t="shared" ref="G54:G57" si="6">ROUND(E54*F54,2)</f>
        <v>4590.9399999999996</v>
      </c>
      <c r="H54" s="36"/>
    </row>
    <row r="55" spans="1:10" ht="28.5" x14ac:dyDescent="0.2">
      <c r="A55" s="81" t="s">
        <v>79</v>
      </c>
      <c r="B55" s="51">
        <v>140030031</v>
      </c>
      <c r="C55" s="48" t="s">
        <v>94</v>
      </c>
      <c r="D55" s="51" t="s">
        <v>7</v>
      </c>
      <c r="E55" s="52">
        <f>E54</f>
        <v>133.38</v>
      </c>
      <c r="F55" s="52">
        <v>30.71</v>
      </c>
      <c r="G55" s="50">
        <f t="shared" si="6"/>
        <v>4096.1000000000004</v>
      </c>
      <c r="H55" s="36"/>
    </row>
    <row r="56" spans="1:10" x14ac:dyDescent="0.2">
      <c r="A56" s="81" t="s">
        <v>80</v>
      </c>
      <c r="B56" s="51">
        <v>20010007</v>
      </c>
      <c r="C56" s="48" t="s">
        <v>64</v>
      </c>
      <c r="D56" s="51" t="s">
        <v>65</v>
      </c>
      <c r="E56" s="52">
        <f>E54*2*0.2</f>
        <v>53.35</v>
      </c>
      <c r="F56" s="52">
        <v>19.3</v>
      </c>
      <c r="G56" s="50">
        <f t="shared" si="6"/>
        <v>1029.6600000000001</v>
      </c>
      <c r="H56" s="36"/>
    </row>
    <row r="57" spans="1:10" x14ac:dyDescent="0.2">
      <c r="A57" s="81" t="s">
        <v>101</v>
      </c>
      <c r="B57" s="51">
        <v>20040006</v>
      </c>
      <c r="C57" s="48" t="s">
        <v>66</v>
      </c>
      <c r="D57" s="51" t="s">
        <v>65</v>
      </c>
      <c r="E57" s="52">
        <f>E56</f>
        <v>53.35</v>
      </c>
      <c r="F57" s="52">
        <v>8.93</v>
      </c>
      <c r="G57" s="50">
        <f t="shared" si="6"/>
        <v>476.42</v>
      </c>
      <c r="H57" s="36"/>
    </row>
    <row r="58" spans="1:10" ht="15" x14ac:dyDescent="0.25">
      <c r="A58" s="82"/>
      <c r="B58" s="73"/>
      <c r="C58" s="74"/>
      <c r="D58" s="75"/>
      <c r="E58" s="76"/>
      <c r="F58" s="77" t="s">
        <v>8</v>
      </c>
      <c r="G58" s="53">
        <f>SUM(G53:G57)</f>
        <v>12455.67</v>
      </c>
      <c r="H58" s="37"/>
    </row>
    <row r="59" spans="1:10" ht="15" x14ac:dyDescent="0.25">
      <c r="A59" s="34">
        <v>8</v>
      </c>
      <c r="B59" s="34"/>
      <c r="C59" s="35" t="s">
        <v>31</v>
      </c>
      <c r="D59" s="44"/>
      <c r="E59" s="45"/>
      <c r="F59" s="46"/>
      <c r="G59" s="46"/>
    </row>
    <row r="60" spans="1:10" x14ac:dyDescent="0.2">
      <c r="A60" s="81" t="s">
        <v>49</v>
      </c>
      <c r="B60" s="47">
        <v>140030009</v>
      </c>
      <c r="C60" s="48" t="s">
        <v>116</v>
      </c>
      <c r="D60" s="38" t="s">
        <v>9</v>
      </c>
      <c r="E60" s="49">
        <f>(101.4+3.8)*2.5</f>
        <v>263</v>
      </c>
      <c r="F60" s="49">
        <v>12.23</v>
      </c>
      <c r="G60" s="50">
        <f>ROUND(E60*F60,2)</f>
        <v>3216.49</v>
      </c>
      <c r="H60" s="36"/>
      <c r="J60" s="29">
        <v>3.2</v>
      </c>
    </row>
    <row r="61" spans="1:10" ht="28.5" x14ac:dyDescent="0.2">
      <c r="A61" s="81" t="s">
        <v>50</v>
      </c>
      <c r="B61" s="51">
        <v>140030030</v>
      </c>
      <c r="C61" s="48" t="s">
        <v>61</v>
      </c>
      <c r="D61" s="51" t="s">
        <v>7</v>
      </c>
      <c r="E61" s="52">
        <v>192.66</v>
      </c>
      <c r="F61" s="52">
        <v>34.42</v>
      </c>
      <c r="G61" s="50">
        <f t="shared" ref="G61:G64" si="7">ROUND(E61*F61,2)</f>
        <v>6631.36</v>
      </c>
      <c r="H61" s="36"/>
    </row>
    <row r="62" spans="1:10" ht="28.5" x14ac:dyDescent="0.2">
      <c r="A62" s="81" t="s">
        <v>77</v>
      </c>
      <c r="B62" s="51">
        <v>140030031</v>
      </c>
      <c r="C62" s="48" t="s">
        <v>94</v>
      </c>
      <c r="D62" s="51" t="s">
        <v>7</v>
      </c>
      <c r="E62" s="52">
        <f>E61</f>
        <v>192.66</v>
      </c>
      <c r="F62" s="52">
        <v>30.71</v>
      </c>
      <c r="G62" s="50">
        <f t="shared" si="7"/>
        <v>5916.59</v>
      </c>
      <c r="H62" s="36"/>
    </row>
    <row r="63" spans="1:10" x14ac:dyDescent="0.2">
      <c r="A63" s="81" t="s">
        <v>78</v>
      </c>
      <c r="B63" s="51">
        <v>20010007</v>
      </c>
      <c r="C63" s="48" t="s">
        <v>64</v>
      </c>
      <c r="D63" s="51" t="s">
        <v>65</v>
      </c>
      <c r="E63" s="52">
        <f>E61*2*0.2</f>
        <v>77.06</v>
      </c>
      <c r="F63" s="52">
        <v>19.3</v>
      </c>
      <c r="G63" s="50">
        <f t="shared" si="7"/>
        <v>1487.26</v>
      </c>
      <c r="H63" s="36"/>
    </row>
    <row r="64" spans="1:10" x14ac:dyDescent="0.2">
      <c r="A64" s="81" t="s">
        <v>100</v>
      </c>
      <c r="B64" s="51">
        <v>20040006</v>
      </c>
      <c r="C64" s="48" t="s">
        <v>66</v>
      </c>
      <c r="D64" s="51" t="s">
        <v>65</v>
      </c>
      <c r="E64" s="52">
        <f>E63</f>
        <v>77.06</v>
      </c>
      <c r="F64" s="52">
        <v>8.93</v>
      </c>
      <c r="G64" s="50">
        <f t="shared" si="7"/>
        <v>688.15</v>
      </c>
      <c r="H64" s="36"/>
    </row>
    <row r="65" spans="1:10" ht="15" x14ac:dyDescent="0.25">
      <c r="A65" s="82"/>
      <c r="B65" s="73"/>
      <c r="C65" s="74"/>
      <c r="D65" s="75"/>
      <c r="E65" s="76"/>
      <c r="F65" s="77" t="s">
        <v>8</v>
      </c>
      <c r="G65" s="53">
        <f>SUM(G60:G64)</f>
        <v>17939.849999999999</v>
      </c>
      <c r="H65" s="37"/>
    </row>
    <row r="66" spans="1:10" ht="15" x14ac:dyDescent="0.25">
      <c r="A66" s="34">
        <v>9</v>
      </c>
      <c r="B66" s="34"/>
      <c r="C66" s="35" t="s">
        <v>32</v>
      </c>
      <c r="D66" s="44"/>
      <c r="E66" s="45"/>
      <c r="F66" s="46"/>
      <c r="G66" s="46"/>
    </row>
    <row r="67" spans="1:10" x14ac:dyDescent="0.2">
      <c r="A67" s="81" t="s">
        <v>51</v>
      </c>
      <c r="B67" s="47">
        <v>140030009</v>
      </c>
      <c r="C67" s="48" t="s">
        <v>116</v>
      </c>
      <c r="D67" s="38" t="s">
        <v>9</v>
      </c>
      <c r="E67" s="49">
        <f>(180+3.8)*2.5</f>
        <v>459.5</v>
      </c>
      <c r="F67" s="49">
        <v>12.23</v>
      </c>
      <c r="G67" s="50">
        <f>ROUND(E67*F67,2)</f>
        <v>5619.69</v>
      </c>
      <c r="H67" s="36"/>
      <c r="J67" s="29">
        <v>3.2</v>
      </c>
    </row>
    <row r="68" spans="1:10" ht="28.5" x14ac:dyDescent="0.2">
      <c r="A68" s="81" t="s">
        <v>52</v>
      </c>
      <c r="B68" s="51">
        <v>140030030</v>
      </c>
      <c r="C68" s="48" t="s">
        <v>61</v>
      </c>
      <c r="D68" s="51" t="s">
        <v>7</v>
      </c>
      <c r="E68" s="52">
        <v>342.5</v>
      </c>
      <c r="F68" s="52">
        <v>34.42</v>
      </c>
      <c r="G68" s="50">
        <f t="shared" ref="G68:G71" si="8">ROUND(E68*F68,2)</f>
        <v>11788.85</v>
      </c>
      <c r="H68" s="36"/>
    </row>
    <row r="69" spans="1:10" ht="28.5" x14ac:dyDescent="0.2">
      <c r="A69" s="81" t="s">
        <v>75</v>
      </c>
      <c r="B69" s="51">
        <v>140030031</v>
      </c>
      <c r="C69" s="48" t="s">
        <v>94</v>
      </c>
      <c r="D69" s="51" t="s">
        <v>7</v>
      </c>
      <c r="E69" s="52">
        <f>E68</f>
        <v>342.5</v>
      </c>
      <c r="F69" s="52">
        <v>30.71</v>
      </c>
      <c r="G69" s="50">
        <f t="shared" si="8"/>
        <v>10518.18</v>
      </c>
      <c r="H69" s="36"/>
    </row>
    <row r="70" spans="1:10" x14ac:dyDescent="0.2">
      <c r="A70" s="81" t="s">
        <v>76</v>
      </c>
      <c r="B70" s="51">
        <v>20010007</v>
      </c>
      <c r="C70" s="48" t="s">
        <v>64</v>
      </c>
      <c r="D70" s="51" t="s">
        <v>65</v>
      </c>
      <c r="E70" s="52">
        <f>E68*2*0.2</f>
        <v>137</v>
      </c>
      <c r="F70" s="52">
        <v>19.3</v>
      </c>
      <c r="G70" s="50">
        <f t="shared" si="8"/>
        <v>2644.1</v>
      </c>
      <c r="H70" s="36"/>
    </row>
    <row r="71" spans="1:10" x14ac:dyDescent="0.2">
      <c r="A71" s="81" t="s">
        <v>99</v>
      </c>
      <c r="B71" s="51">
        <v>20040006</v>
      </c>
      <c r="C71" s="48" t="s">
        <v>66</v>
      </c>
      <c r="D71" s="51" t="s">
        <v>65</v>
      </c>
      <c r="E71" s="52">
        <f>E70</f>
        <v>137</v>
      </c>
      <c r="F71" s="52">
        <v>8.93</v>
      </c>
      <c r="G71" s="50">
        <f t="shared" si="8"/>
        <v>1223.4100000000001</v>
      </c>
      <c r="H71" s="36"/>
    </row>
    <row r="72" spans="1:10" ht="15" x14ac:dyDescent="0.25">
      <c r="A72" s="82"/>
      <c r="B72" s="73"/>
      <c r="C72" s="74"/>
      <c r="D72" s="75"/>
      <c r="E72" s="76"/>
      <c r="F72" s="77" t="s">
        <v>8</v>
      </c>
      <c r="G72" s="53">
        <f>SUM(G67:G71)</f>
        <v>31794.23</v>
      </c>
      <c r="H72" s="37"/>
    </row>
    <row r="73" spans="1:10" ht="15" x14ac:dyDescent="0.25">
      <c r="A73" s="34">
        <v>10</v>
      </c>
      <c r="B73" s="34"/>
      <c r="C73" s="35" t="s">
        <v>33</v>
      </c>
      <c r="D73" s="44"/>
      <c r="E73" s="45"/>
      <c r="F73" s="46"/>
      <c r="G73" s="46"/>
    </row>
    <row r="74" spans="1:10" x14ac:dyDescent="0.2">
      <c r="A74" s="81" t="s">
        <v>53</v>
      </c>
      <c r="B74" s="47">
        <v>140030009</v>
      </c>
      <c r="C74" s="48" t="s">
        <v>116</v>
      </c>
      <c r="D74" s="38" t="s">
        <v>9</v>
      </c>
      <c r="E74" s="49">
        <f>(40.27+3.8)*2.5</f>
        <v>110.18</v>
      </c>
      <c r="F74" s="49">
        <v>12.23</v>
      </c>
      <c r="G74" s="50">
        <f>ROUND(E74*F74,2)</f>
        <v>1347.5</v>
      </c>
      <c r="H74" s="36"/>
      <c r="J74" s="29">
        <v>3.2</v>
      </c>
    </row>
    <row r="75" spans="1:10" ht="28.5" x14ac:dyDescent="0.2">
      <c r="A75" s="81" t="s">
        <v>54</v>
      </c>
      <c r="B75" s="51">
        <v>140030030</v>
      </c>
      <c r="C75" s="48" t="s">
        <v>61</v>
      </c>
      <c r="D75" s="51" t="s">
        <v>7</v>
      </c>
      <c r="E75" s="52">
        <v>76.52</v>
      </c>
      <c r="F75" s="52">
        <v>34.42</v>
      </c>
      <c r="G75" s="50">
        <f t="shared" ref="G75:G78" si="9">ROUND(E75*F75,2)</f>
        <v>2633.82</v>
      </c>
      <c r="H75" s="36"/>
    </row>
    <row r="76" spans="1:10" ht="28.5" x14ac:dyDescent="0.2">
      <c r="A76" s="81" t="s">
        <v>73</v>
      </c>
      <c r="B76" s="51">
        <v>140030031</v>
      </c>
      <c r="C76" s="48" t="s">
        <v>94</v>
      </c>
      <c r="D76" s="51" t="s">
        <v>7</v>
      </c>
      <c r="E76" s="52">
        <f>E75</f>
        <v>76.52</v>
      </c>
      <c r="F76" s="52">
        <v>30.71</v>
      </c>
      <c r="G76" s="50">
        <f t="shared" si="9"/>
        <v>2349.9299999999998</v>
      </c>
      <c r="H76" s="36"/>
    </row>
    <row r="77" spans="1:10" x14ac:dyDescent="0.2">
      <c r="A77" s="81" t="s">
        <v>74</v>
      </c>
      <c r="B77" s="51">
        <v>20010007</v>
      </c>
      <c r="C77" s="48" t="s">
        <v>64</v>
      </c>
      <c r="D77" s="51" t="s">
        <v>65</v>
      </c>
      <c r="E77" s="52">
        <f>E75*2*0.2</f>
        <v>30.61</v>
      </c>
      <c r="F77" s="52">
        <v>19.3</v>
      </c>
      <c r="G77" s="50">
        <f t="shared" si="9"/>
        <v>590.77</v>
      </c>
      <c r="H77" s="36"/>
    </row>
    <row r="78" spans="1:10" x14ac:dyDescent="0.2">
      <c r="A78" s="81" t="s">
        <v>98</v>
      </c>
      <c r="B78" s="51">
        <v>20040006</v>
      </c>
      <c r="C78" s="48" t="s">
        <v>66</v>
      </c>
      <c r="D78" s="51" t="s">
        <v>65</v>
      </c>
      <c r="E78" s="52">
        <f>E77</f>
        <v>30.61</v>
      </c>
      <c r="F78" s="52">
        <v>8.93</v>
      </c>
      <c r="G78" s="50">
        <f t="shared" si="9"/>
        <v>273.35000000000002</v>
      </c>
      <c r="H78" s="36"/>
    </row>
    <row r="79" spans="1:10" ht="15" x14ac:dyDescent="0.25">
      <c r="A79" s="82"/>
      <c r="B79" s="73"/>
      <c r="C79" s="74"/>
      <c r="D79" s="75"/>
      <c r="E79" s="76"/>
      <c r="F79" s="77" t="s">
        <v>8</v>
      </c>
      <c r="G79" s="53">
        <f>SUM(G74:G78)</f>
        <v>7195.37</v>
      </c>
      <c r="H79" s="37"/>
    </row>
    <row r="80" spans="1:10" ht="15" x14ac:dyDescent="0.25">
      <c r="A80" s="34">
        <v>11</v>
      </c>
      <c r="B80" s="34"/>
      <c r="C80" s="35" t="s">
        <v>34</v>
      </c>
      <c r="D80" s="44"/>
      <c r="E80" s="45"/>
      <c r="F80" s="46"/>
      <c r="G80" s="46"/>
    </row>
    <row r="81" spans="1:10" x14ac:dyDescent="0.2">
      <c r="A81" s="81" t="s">
        <v>55</v>
      </c>
      <c r="B81" s="47">
        <v>140030009</v>
      </c>
      <c r="C81" s="48" t="s">
        <v>116</v>
      </c>
      <c r="D81" s="38" t="s">
        <v>9</v>
      </c>
      <c r="E81" s="49">
        <f>(60.7+3.8)*2.5</f>
        <v>161.25</v>
      </c>
      <c r="F81" s="49">
        <v>12.23</v>
      </c>
      <c r="G81" s="50">
        <f>ROUND(E81*F81,2)</f>
        <v>1972.09</v>
      </c>
      <c r="H81" s="36"/>
      <c r="J81" s="29">
        <v>3.2</v>
      </c>
    </row>
    <row r="82" spans="1:10" ht="28.5" x14ac:dyDescent="0.2">
      <c r="A82" s="81" t="s">
        <v>56</v>
      </c>
      <c r="B82" s="51">
        <v>140030030</v>
      </c>
      <c r="C82" s="48" t="s">
        <v>61</v>
      </c>
      <c r="D82" s="51" t="s">
        <v>7</v>
      </c>
      <c r="E82" s="52">
        <v>115.33</v>
      </c>
      <c r="F82" s="52">
        <v>34.42</v>
      </c>
      <c r="G82" s="50">
        <f t="shared" ref="G82:G85" si="10">ROUND(E82*F82,2)</f>
        <v>3969.66</v>
      </c>
      <c r="H82" s="36"/>
    </row>
    <row r="83" spans="1:10" ht="28.5" x14ac:dyDescent="0.2">
      <c r="A83" s="81" t="s">
        <v>71</v>
      </c>
      <c r="B83" s="51">
        <v>140030031</v>
      </c>
      <c r="C83" s="48" t="s">
        <v>94</v>
      </c>
      <c r="D83" s="51" t="s">
        <v>7</v>
      </c>
      <c r="E83" s="52">
        <f>E82</f>
        <v>115.33</v>
      </c>
      <c r="F83" s="52">
        <v>30.71</v>
      </c>
      <c r="G83" s="50">
        <f t="shared" si="10"/>
        <v>3541.78</v>
      </c>
      <c r="H83" s="36"/>
    </row>
    <row r="84" spans="1:10" x14ac:dyDescent="0.2">
      <c r="A84" s="81" t="s">
        <v>72</v>
      </c>
      <c r="B84" s="51">
        <v>20010007</v>
      </c>
      <c r="C84" s="48" t="s">
        <v>64</v>
      </c>
      <c r="D84" s="51" t="s">
        <v>65</v>
      </c>
      <c r="E84" s="52">
        <f>E82*2*0.2</f>
        <v>46.13</v>
      </c>
      <c r="F84" s="52">
        <v>19.3</v>
      </c>
      <c r="G84" s="50">
        <f t="shared" si="10"/>
        <v>890.31</v>
      </c>
      <c r="H84" s="36"/>
    </row>
    <row r="85" spans="1:10" x14ac:dyDescent="0.2">
      <c r="A85" s="81" t="s">
        <v>97</v>
      </c>
      <c r="B85" s="51">
        <v>20040006</v>
      </c>
      <c r="C85" s="48" t="s">
        <v>66</v>
      </c>
      <c r="D85" s="51" t="s">
        <v>65</v>
      </c>
      <c r="E85" s="52">
        <f>E84</f>
        <v>46.13</v>
      </c>
      <c r="F85" s="52">
        <v>8.93</v>
      </c>
      <c r="G85" s="50">
        <f t="shared" si="10"/>
        <v>411.94</v>
      </c>
      <c r="H85" s="36"/>
    </row>
    <row r="86" spans="1:10" ht="15" x14ac:dyDescent="0.25">
      <c r="A86" s="82"/>
      <c r="B86" s="73"/>
      <c r="C86" s="74"/>
      <c r="D86" s="75"/>
      <c r="E86" s="76"/>
      <c r="F86" s="77" t="s">
        <v>8</v>
      </c>
      <c r="G86" s="53">
        <f>SUM(G81:G85)</f>
        <v>10785.78</v>
      </c>
      <c r="H86" s="37"/>
    </row>
    <row r="87" spans="1:10" ht="15" x14ac:dyDescent="0.25">
      <c r="A87" s="34">
        <v>12</v>
      </c>
      <c r="B87" s="34"/>
      <c r="C87" s="35" t="s">
        <v>35</v>
      </c>
      <c r="D87" s="44"/>
      <c r="E87" s="45"/>
      <c r="F87" s="46"/>
      <c r="G87" s="46"/>
    </row>
    <row r="88" spans="1:10" x14ac:dyDescent="0.2">
      <c r="A88" s="81" t="s">
        <v>57</v>
      </c>
      <c r="B88" s="47">
        <v>140030009</v>
      </c>
      <c r="C88" s="48" t="s">
        <v>116</v>
      </c>
      <c r="D88" s="38" t="s">
        <v>9</v>
      </c>
      <c r="E88" s="49">
        <f>(78.1+3.8)*2.5</f>
        <v>204.75</v>
      </c>
      <c r="F88" s="49">
        <v>12.23</v>
      </c>
      <c r="G88" s="50">
        <f>ROUND(E88*F88,2)</f>
        <v>2504.09</v>
      </c>
      <c r="H88" s="36"/>
      <c r="J88" s="29">
        <v>3.2</v>
      </c>
    </row>
    <row r="89" spans="1:10" ht="28.5" x14ac:dyDescent="0.2">
      <c r="A89" s="81" t="s">
        <v>58</v>
      </c>
      <c r="B89" s="51">
        <v>140030030</v>
      </c>
      <c r="C89" s="48" t="s">
        <v>61</v>
      </c>
      <c r="D89" s="51" t="s">
        <v>7</v>
      </c>
      <c r="E89" s="52">
        <v>148.38999999999999</v>
      </c>
      <c r="F89" s="52">
        <v>34.42</v>
      </c>
      <c r="G89" s="50">
        <f t="shared" ref="G89:G92" si="11">ROUND(E89*F89,2)</f>
        <v>5107.58</v>
      </c>
      <c r="H89" s="36"/>
    </row>
    <row r="90" spans="1:10" ht="28.5" x14ac:dyDescent="0.2">
      <c r="A90" s="81" t="s">
        <v>69</v>
      </c>
      <c r="B90" s="51">
        <v>140030031</v>
      </c>
      <c r="C90" s="48" t="s">
        <v>94</v>
      </c>
      <c r="D90" s="51" t="s">
        <v>7</v>
      </c>
      <c r="E90" s="52">
        <f>E89</f>
        <v>148.38999999999999</v>
      </c>
      <c r="F90" s="52">
        <v>30.71</v>
      </c>
      <c r="G90" s="50">
        <f t="shared" si="11"/>
        <v>4557.0600000000004</v>
      </c>
      <c r="H90" s="36"/>
    </row>
    <row r="91" spans="1:10" x14ac:dyDescent="0.2">
      <c r="A91" s="81" t="s">
        <v>70</v>
      </c>
      <c r="B91" s="51">
        <v>20010007</v>
      </c>
      <c r="C91" s="48" t="s">
        <v>64</v>
      </c>
      <c r="D91" s="51" t="s">
        <v>65</v>
      </c>
      <c r="E91" s="52">
        <f>E89*2*0.2</f>
        <v>59.36</v>
      </c>
      <c r="F91" s="52">
        <v>19.3</v>
      </c>
      <c r="G91" s="50">
        <f t="shared" si="11"/>
        <v>1145.6500000000001</v>
      </c>
      <c r="H91" s="36"/>
    </row>
    <row r="92" spans="1:10" x14ac:dyDescent="0.2">
      <c r="A92" s="81" t="s">
        <v>96</v>
      </c>
      <c r="B92" s="51">
        <v>20040006</v>
      </c>
      <c r="C92" s="48" t="s">
        <v>66</v>
      </c>
      <c r="D92" s="51" t="s">
        <v>65</v>
      </c>
      <c r="E92" s="52">
        <f>E91</f>
        <v>59.36</v>
      </c>
      <c r="F92" s="52">
        <v>8.93</v>
      </c>
      <c r="G92" s="50">
        <f t="shared" si="11"/>
        <v>530.08000000000004</v>
      </c>
      <c r="H92" s="36"/>
    </row>
    <row r="93" spans="1:10" ht="15" x14ac:dyDescent="0.25">
      <c r="A93" s="82"/>
      <c r="B93" s="73"/>
      <c r="C93" s="74"/>
      <c r="D93" s="75"/>
      <c r="E93" s="76"/>
      <c r="F93" s="77" t="s">
        <v>8</v>
      </c>
      <c r="G93" s="53">
        <f>SUM(G88:G92)</f>
        <v>13844.46</v>
      </c>
      <c r="H93" s="37"/>
    </row>
    <row r="94" spans="1:10" ht="15" x14ac:dyDescent="0.25">
      <c r="A94" s="34">
        <v>13</v>
      </c>
      <c r="B94" s="34"/>
      <c r="C94" s="35" t="s">
        <v>36</v>
      </c>
      <c r="D94" s="44"/>
      <c r="E94" s="45"/>
      <c r="F94" s="46"/>
      <c r="G94" s="46"/>
    </row>
    <row r="95" spans="1:10" x14ac:dyDescent="0.2">
      <c r="A95" s="81" t="s">
        <v>59</v>
      </c>
      <c r="B95" s="47">
        <v>140030009</v>
      </c>
      <c r="C95" s="48" t="s">
        <v>116</v>
      </c>
      <c r="D95" s="38" t="s">
        <v>9</v>
      </c>
      <c r="E95" s="49">
        <f>(2.3+3.8)*2.5</f>
        <v>15.25</v>
      </c>
      <c r="F95" s="49">
        <v>12.23</v>
      </c>
      <c r="G95" s="50">
        <f>ROUND(E95*F95,2)</f>
        <v>186.51</v>
      </c>
      <c r="H95" s="36"/>
      <c r="J95" s="29">
        <v>3.2</v>
      </c>
    </row>
    <row r="96" spans="1:10" ht="28.5" x14ac:dyDescent="0.2">
      <c r="A96" s="81" t="s">
        <v>60</v>
      </c>
      <c r="B96" s="51">
        <v>140030030</v>
      </c>
      <c r="C96" s="48" t="s">
        <v>61</v>
      </c>
      <c r="D96" s="51" t="s">
        <v>7</v>
      </c>
      <c r="E96" s="52">
        <v>4.37</v>
      </c>
      <c r="F96" s="52">
        <v>34.42</v>
      </c>
      <c r="G96" s="50">
        <f t="shared" ref="G96:G99" si="12">ROUND(E96*F96,2)</f>
        <v>150.41999999999999</v>
      </c>
      <c r="H96" s="36"/>
    </row>
    <row r="97" spans="1:10" ht="28.5" x14ac:dyDescent="0.2">
      <c r="A97" s="81" t="s">
        <v>67</v>
      </c>
      <c r="B97" s="51">
        <v>140030031</v>
      </c>
      <c r="C97" s="48" t="s">
        <v>94</v>
      </c>
      <c r="D97" s="51" t="s">
        <v>7</v>
      </c>
      <c r="E97" s="52">
        <f>E96</f>
        <v>4.37</v>
      </c>
      <c r="F97" s="52">
        <v>30.71</v>
      </c>
      <c r="G97" s="50">
        <f t="shared" si="12"/>
        <v>134.19999999999999</v>
      </c>
      <c r="H97" s="36"/>
    </row>
    <row r="98" spans="1:10" x14ac:dyDescent="0.2">
      <c r="A98" s="81" t="s">
        <v>68</v>
      </c>
      <c r="B98" s="51">
        <v>20010007</v>
      </c>
      <c r="C98" s="48" t="s">
        <v>64</v>
      </c>
      <c r="D98" s="51" t="s">
        <v>65</v>
      </c>
      <c r="E98" s="52">
        <f>E96*2*0.2</f>
        <v>1.75</v>
      </c>
      <c r="F98" s="52">
        <v>19.3</v>
      </c>
      <c r="G98" s="50">
        <f t="shared" si="12"/>
        <v>33.78</v>
      </c>
      <c r="H98" s="36"/>
    </row>
    <row r="99" spans="1:10" x14ac:dyDescent="0.2">
      <c r="A99" s="81" t="s">
        <v>95</v>
      </c>
      <c r="B99" s="51">
        <v>20040006</v>
      </c>
      <c r="C99" s="48" t="s">
        <v>66</v>
      </c>
      <c r="D99" s="51" t="s">
        <v>65</v>
      </c>
      <c r="E99" s="52">
        <f>E98</f>
        <v>1.75</v>
      </c>
      <c r="F99" s="52">
        <v>8.93</v>
      </c>
      <c r="G99" s="50">
        <f t="shared" si="12"/>
        <v>15.63</v>
      </c>
      <c r="H99" s="36"/>
    </row>
    <row r="100" spans="1:10" ht="15" x14ac:dyDescent="0.25">
      <c r="A100" s="83"/>
      <c r="B100" s="68"/>
      <c r="C100" s="69"/>
      <c r="D100" s="70"/>
      <c r="E100" s="71"/>
      <c r="F100" s="72" t="s">
        <v>8</v>
      </c>
      <c r="G100" s="62">
        <f>SUM(G95:G99)</f>
        <v>520.54</v>
      </c>
      <c r="H100" s="37"/>
    </row>
    <row r="101" spans="1:10" ht="15" x14ac:dyDescent="0.25">
      <c r="A101" s="34">
        <v>14</v>
      </c>
      <c r="B101" s="34"/>
      <c r="C101" s="35" t="s">
        <v>108</v>
      </c>
      <c r="D101" s="44"/>
      <c r="E101" s="45"/>
      <c r="F101" s="46"/>
      <c r="G101" s="46"/>
    </row>
    <row r="102" spans="1:10" x14ac:dyDescent="0.2">
      <c r="A102" s="81" t="s">
        <v>109</v>
      </c>
      <c r="B102" s="47">
        <v>140030009</v>
      </c>
      <c r="C102" s="48" t="s">
        <v>116</v>
      </c>
      <c r="D102" s="38" t="s">
        <v>9</v>
      </c>
      <c r="E102" s="49">
        <f>(65+3.4)*2.5</f>
        <v>171</v>
      </c>
      <c r="F102" s="49">
        <v>12.23</v>
      </c>
      <c r="G102" s="50">
        <f>ROUND(E102*F102,2)</f>
        <v>2091.33</v>
      </c>
      <c r="H102" s="36"/>
      <c r="J102" s="29">
        <v>3.2</v>
      </c>
    </row>
    <row r="103" spans="1:10" ht="28.5" x14ac:dyDescent="0.2">
      <c r="A103" s="81" t="s">
        <v>110</v>
      </c>
      <c r="B103" s="51">
        <v>140030030</v>
      </c>
      <c r="C103" s="48" t="s">
        <v>61</v>
      </c>
      <c r="D103" s="51" t="s">
        <v>7</v>
      </c>
      <c r="E103" s="52">
        <v>110.5</v>
      </c>
      <c r="F103" s="52">
        <v>34.42</v>
      </c>
      <c r="G103" s="50">
        <f t="shared" ref="G103:G106" si="13">ROUND(E103*F103,2)</f>
        <v>3803.41</v>
      </c>
      <c r="H103" s="36"/>
    </row>
    <row r="104" spans="1:10" ht="28.5" x14ac:dyDescent="0.2">
      <c r="A104" s="81" t="s">
        <v>111</v>
      </c>
      <c r="B104" s="51">
        <v>140030031</v>
      </c>
      <c r="C104" s="48" t="s">
        <v>94</v>
      </c>
      <c r="D104" s="51" t="s">
        <v>7</v>
      </c>
      <c r="E104" s="52">
        <f>E103</f>
        <v>110.5</v>
      </c>
      <c r="F104" s="52">
        <v>30.71</v>
      </c>
      <c r="G104" s="50">
        <f t="shared" si="13"/>
        <v>3393.46</v>
      </c>
      <c r="H104" s="36"/>
    </row>
    <row r="105" spans="1:10" x14ac:dyDescent="0.2">
      <c r="A105" s="81" t="s">
        <v>112</v>
      </c>
      <c r="B105" s="51">
        <v>20010007</v>
      </c>
      <c r="C105" s="48" t="s">
        <v>64</v>
      </c>
      <c r="D105" s="51" t="s">
        <v>65</v>
      </c>
      <c r="E105" s="52">
        <f>E103*2*0.2</f>
        <v>44.2</v>
      </c>
      <c r="F105" s="52">
        <v>19.3</v>
      </c>
      <c r="G105" s="50">
        <f t="shared" si="13"/>
        <v>853.06</v>
      </c>
      <c r="H105" s="36"/>
    </row>
    <row r="106" spans="1:10" x14ac:dyDescent="0.2">
      <c r="A106" s="81" t="s">
        <v>113</v>
      </c>
      <c r="B106" s="51">
        <v>20040006</v>
      </c>
      <c r="C106" s="48" t="s">
        <v>66</v>
      </c>
      <c r="D106" s="51" t="s">
        <v>65</v>
      </c>
      <c r="E106" s="52">
        <f>E105</f>
        <v>44.2</v>
      </c>
      <c r="F106" s="52">
        <v>8.93</v>
      </c>
      <c r="G106" s="50">
        <f t="shared" si="13"/>
        <v>394.71</v>
      </c>
      <c r="H106" s="36"/>
    </row>
    <row r="107" spans="1:10" ht="15" x14ac:dyDescent="0.25">
      <c r="A107" s="83"/>
      <c r="B107" s="68"/>
      <c r="C107" s="69"/>
      <c r="D107" s="70"/>
      <c r="E107" s="71"/>
      <c r="F107" s="72" t="s">
        <v>8</v>
      </c>
      <c r="G107" s="62">
        <f>SUM(G102:G106)</f>
        <v>10535.97</v>
      </c>
      <c r="H107" s="37"/>
    </row>
    <row r="108" spans="1:10" ht="15" x14ac:dyDescent="0.25">
      <c r="A108" s="34">
        <v>15</v>
      </c>
      <c r="B108" s="34"/>
      <c r="C108" s="35" t="s">
        <v>114</v>
      </c>
      <c r="D108" s="44"/>
      <c r="E108" s="45"/>
      <c r="F108" s="46"/>
      <c r="G108" s="46"/>
    </row>
    <row r="109" spans="1:10" x14ac:dyDescent="0.2">
      <c r="A109" s="81" t="s">
        <v>59</v>
      </c>
      <c r="B109" s="47">
        <v>140030009</v>
      </c>
      <c r="C109" s="48" t="s">
        <v>116</v>
      </c>
      <c r="D109" s="38" t="s">
        <v>9</v>
      </c>
      <c r="E109" s="49">
        <f>(36.4+2.7)*2.5</f>
        <v>97.75</v>
      </c>
      <c r="F109" s="49">
        <v>12.23</v>
      </c>
      <c r="G109" s="50">
        <f>ROUND(E109*F109,2)</f>
        <v>1195.48</v>
      </c>
      <c r="H109" s="36"/>
      <c r="J109" s="29">
        <v>3.2</v>
      </c>
    </row>
    <row r="110" spans="1:10" ht="28.5" x14ac:dyDescent="0.2">
      <c r="A110" s="81" t="s">
        <v>60</v>
      </c>
      <c r="B110" s="51">
        <v>140030030</v>
      </c>
      <c r="C110" s="48" t="s">
        <v>61</v>
      </c>
      <c r="D110" s="51" t="s">
        <v>7</v>
      </c>
      <c r="E110" s="52">
        <v>49.14</v>
      </c>
      <c r="F110" s="52">
        <v>34.42</v>
      </c>
      <c r="G110" s="50">
        <f t="shared" ref="G110:G113" si="14">ROUND(E110*F110,2)</f>
        <v>1691.4</v>
      </c>
      <c r="H110" s="36"/>
    </row>
    <row r="111" spans="1:10" ht="28.5" x14ac:dyDescent="0.2">
      <c r="A111" s="81" t="s">
        <v>67</v>
      </c>
      <c r="B111" s="51">
        <v>140030031</v>
      </c>
      <c r="C111" s="48" t="s">
        <v>94</v>
      </c>
      <c r="D111" s="51" t="s">
        <v>7</v>
      </c>
      <c r="E111" s="52">
        <f>E110</f>
        <v>49.14</v>
      </c>
      <c r="F111" s="52">
        <v>30.71</v>
      </c>
      <c r="G111" s="50">
        <f t="shared" si="14"/>
        <v>1509.09</v>
      </c>
      <c r="H111" s="36"/>
    </row>
    <row r="112" spans="1:10" x14ac:dyDescent="0.2">
      <c r="A112" s="81" t="s">
        <v>68</v>
      </c>
      <c r="B112" s="51">
        <v>20010007</v>
      </c>
      <c r="C112" s="48" t="s">
        <v>64</v>
      </c>
      <c r="D112" s="51" t="s">
        <v>65</v>
      </c>
      <c r="E112" s="52">
        <f>E110*2*0.2</f>
        <v>19.66</v>
      </c>
      <c r="F112" s="52">
        <v>19.3</v>
      </c>
      <c r="G112" s="50">
        <f t="shared" si="14"/>
        <v>379.44</v>
      </c>
      <c r="H112" s="36"/>
    </row>
    <row r="113" spans="1:13" x14ac:dyDescent="0.2">
      <c r="A113" s="81" t="s">
        <v>95</v>
      </c>
      <c r="B113" s="51">
        <v>20040006</v>
      </c>
      <c r="C113" s="48" t="s">
        <v>66</v>
      </c>
      <c r="D113" s="51" t="s">
        <v>65</v>
      </c>
      <c r="E113" s="52">
        <f>E112</f>
        <v>19.66</v>
      </c>
      <c r="F113" s="52">
        <v>8.93</v>
      </c>
      <c r="G113" s="50">
        <f t="shared" si="14"/>
        <v>175.56</v>
      </c>
      <c r="H113" s="36"/>
    </row>
    <row r="114" spans="1:13" ht="15" x14ac:dyDescent="0.25">
      <c r="A114" s="82"/>
      <c r="B114" s="73"/>
      <c r="C114" s="74"/>
      <c r="D114" s="75"/>
      <c r="E114" s="76"/>
      <c r="F114" s="77" t="s">
        <v>8</v>
      </c>
      <c r="G114" s="53">
        <f>SUM(G109:G113)</f>
        <v>4950.97</v>
      </c>
      <c r="H114" s="37"/>
    </row>
    <row r="115" spans="1:13" x14ac:dyDescent="0.2">
      <c r="A115" s="30"/>
      <c r="B115" s="64"/>
      <c r="C115" s="65"/>
      <c r="D115" s="64"/>
      <c r="E115" s="66"/>
      <c r="F115" s="117"/>
      <c r="G115" s="118"/>
      <c r="H115" s="36"/>
    </row>
    <row r="116" spans="1:13" ht="15" x14ac:dyDescent="0.25">
      <c r="A116" s="128" t="s">
        <v>24</v>
      </c>
      <c r="B116" s="128"/>
      <c r="C116" s="128"/>
      <c r="D116" s="128"/>
      <c r="E116" s="128"/>
      <c r="F116" s="128"/>
      <c r="G116" s="63">
        <f>G16+G23+G30+G37+G44+G51+G58+G65+G72+G79+G86+G93+G100+G107+G114</f>
        <v>228807.94</v>
      </c>
    </row>
    <row r="117" spans="1:13" x14ac:dyDescent="0.25">
      <c r="A117" s="124" t="s">
        <v>117</v>
      </c>
      <c r="B117" s="125"/>
      <c r="C117" s="125"/>
      <c r="D117" s="125"/>
      <c r="E117" s="125"/>
      <c r="F117" s="125"/>
      <c r="G117" s="126"/>
      <c r="M117" s="40"/>
    </row>
    <row r="119" spans="1:13" x14ac:dyDescent="0.25">
      <c r="M119" s="40"/>
    </row>
    <row r="310" spans="1:8" x14ac:dyDescent="0.25">
      <c r="A310" s="29"/>
      <c r="B310" s="29"/>
      <c r="F310" s="29"/>
      <c r="G310" s="29"/>
      <c r="H310" s="29"/>
    </row>
  </sheetData>
  <sheetProtection selectLockedCells="1" selectUnlockedCells="1"/>
  <mergeCells count="8">
    <mergeCell ref="A117:G117"/>
    <mergeCell ref="B6:G6"/>
    <mergeCell ref="B7:G7"/>
    <mergeCell ref="A116:F116"/>
    <mergeCell ref="A2:G2"/>
    <mergeCell ref="A3:G3"/>
    <mergeCell ref="A4:G4"/>
    <mergeCell ref="A5:G5"/>
  </mergeCells>
  <printOptions horizontalCentered="1"/>
  <pageMargins left="0.31496062992125984" right="0.31496062992125984" top="0.31496062992125984" bottom="0.47244094488188981" header="0.51181102362204722" footer="0.27559055118110237"/>
  <pageSetup paperSize="9" scale="64" firstPageNumber="0" fitToHeight="0" orientation="portrait" horizontalDpi="4294967295" r:id="rId1"/>
  <headerFooter alignWithMargins="0">
    <oddFooter>&amp;R&amp;"Verdana,Negrito Itálico"&amp;10Página &amp;P de &amp;N</oddFooter>
  </headerFooter>
  <rowBreaks count="1" manualBreakCount="1">
    <brk id="69" max="6" man="1"/>
  </rowBreaks>
  <ignoredErrors>
    <ignoredError sqref="E21 E14 E35 E42 E49 E56 E63 E70 E77 E84 E91 E98 E28 E105 E1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activeCell="A10" sqref="A10:J10"/>
    </sheetView>
  </sheetViews>
  <sheetFormatPr defaultRowHeight="15" x14ac:dyDescent="0.25"/>
  <cols>
    <col min="1" max="1" width="9.140625" style="41"/>
    <col min="2" max="2" width="23.28515625" customWidth="1"/>
    <col min="3" max="3" width="14.42578125" style="15" customWidth="1"/>
    <col min="4" max="4" width="9.140625" style="16"/>
    <col min="5" max="5" width="10.140625" style="15" customWidth="1"/>
    <col min="6" max="6" width="9.28515625" style="17" customWidth="1"/>
    <col min="7" max="9" width="10.140625" customWidth="1"/>
    <col min="10" max="10" width="9.140625" style="5"/>
    <col min="11" max="11" width="14.7109375" style="5" customWidth="1"/>
  </cols>
  <sheetData>
    <row r="1" spans="1:11" x14ac:dyDescent="0.25">
      <c r="A1" s="6"/>
      <c r="B1" s="1"/>
      <c r="C1" s="2"/>
      <c r="D1" s="2"/>
      <c r="E1" s="2"/>
      <c r="F1" s="3"/>
      <c r="G1" s="4"/>
      <c r="H1" s="4"/>
      <c r="I1" s="4"/>
      <c r="J1" s="3"/>
    </row>
    <row r="2" spans="1:11" x14ac:dyDescent="0.25">
      <c r="A2" s="6"/>
      <c r="B2" s="1"/>
      <c r="C2" s="2"/>
      <c r="D2" s="2"/>
      <c r="E2" s="2"/>
      <c r="F2" s="3"/>
      <c r="G2" s="4"/>
      <c r="H2" s="4"/>
      <c r="I2" s="4"/>
      <c r="J2" s="3"/>
    </row>
    <row r="3" spans="1:11" x14ac:dyDescent="0.25">
      <c r="A3" s="6"/>
      <c r="B3" s="1"/>
      <c r="C3" s="2"/>
      <c r="D3" s="2"/>
      <c r="E3" s="2"/>
      <c r="F3" s="3"/>
      <c r="G3" s="4"/>
      <c r="H3" s="4"/>
      <c r="I3" s="4"/>
      <c r="J3" s="3"/>
    </row>
    <row r="4" spans="1:11" x14ac:dyDescent="0.25">
      <c r="A4" s="6"/>
      <c r="B4" s="1"/>
      <c r="C4" s="2"/>
      <c r="D4" s="2"/>
      <c r="E4" s="2"/>
      <c r="F4" s="3"/>
      <c r="G4" s="4"/>
      <c r="H4" s="4"/>
      <c r="I4" s="4"/>
      <c r="J4" s="3"/>
    </row>
    <row r="5" spans="1:11" ht="15.75" x14ac:dyDescent="0.25">
      <c r="A5" s="138" t="s">
        <v>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x14ac:dyDescent="0.25">
      <c r="A6" s="6"/>
      <c r="B6" s="7"/>
      <c r="C6" s="2"/>
      <c r="D6" s="2"/>
      <c r="E6" s="2"/>
      <c r="F6" s="3"/>
      <c r="G6" s="4"/>
      <c r="H6" s="4"/>
      <c r="I6" s="4"/>
      <c r="J6" s="3"/>
      <c r="K6" s="8"/>
    </row>
    <row r="7" spans="1:11" s="10" customFormat="1" ht="15.75" x14ac:dyDescent="0.2">
      <c r="A7" s="139" t="s">
        <v>127</v>
      </c>
      <c r="B7" s="139"/>
      <c r="C7" s="139"/>
      <c r="D7" s="139"/>
      <c r="E7" s="139"/>
      <c r="F7" s="139"/>
      <c r="G7" s="139"/>
      <c r="H7" s="139"/>
      <c r="I7" s="139"/>
      <c r="J7" s="139"/>
      <c r="K7" s="9"/>
    </row>
    <row r="8" spans="1:11" s="10" customFormat="1" ht="15.75" x14ac:dyDescent="0.2">
      <c r="A8" s="23"/>
      <c r="B8" s="9"/>
      <c r="C8" s="9"/>
      <c r="D8" s="9"/>
      <c r="E8" s="9"/>
      <c r="F8" s="9"/>
      <c r="G8" s="9"/>
      <c r="H8" s="43"/>
      <c r="I8" s="43"/>
      <c r="J8" s="9"/>
      <c r="K8" s="9"/>
    </row>
    <row r="9" spans="1:11" s="10" customFormat="1" ht="11.25" x14ac:dyDescent="0.2">
      <c r="A9" s="140" t="s">
        <v>128</v>
      </c>
      <c r="B9" s="140"/>
      <c r="C9" s="140"/>
      <c r="D9" s="140"/>
      <c r="E9" s="140"/>
      <c r="F9" s="140"/>
      <c r="G9" s="140"/>
      <c r="H9" s="140"/>
      <c r="I9" s="140"/>
      <c r="J9" s="140"/>
      <c r="K9" s="11">
        <v>41565</v>
      </c>
    </row>
    <row r="10" spans="1:11" s="10" customFormat="1" ht="11.25" customHeight="1" x14ac:dyDescent="0.2">
      <c r="A10" s="141" t="s">
        <v>22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2"/>
    </row>
    <row r="11" spans="1:11" s="10" customForma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0" customForma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15.75" thickBo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4" customFormat="1" ht="12.75" thickBot="1" x14ac:dyDescent="0.25">
      <c r="A14" s="142" t="s">
        <v>13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</row>
    <row r="15" spans="1:11" ht="15.75" thickBot="1" x14ac:dyDescent="0.3">
      <c r="K15" s="18"/>
    </row>
    <row r="16" spans="1:11" s="2" customFormat="1" ht="11.25" x14ac:dyDescent="0.25">
      <c r="A16" s="98" t="s">
        <v>3</v>
      </c>
      <c r="B16" s="99" t="s">
        <v>14</v>
      </c>
      <c r="C16" s="100" t="s">
        <v>15</v>
      </c>
      <c r="D16" s="101" t="s">
        <v>16</v>
      </c>
      <c r="E16" s="100" t="s">
        <v>17</v>
      </c>
      <c r="F16" s="102" t="s">
        <v>16</v>
      </c>
      <c r="G16" s="99" t="s">
        <v>21</v>
      </c>
      <c r="H16" s="102" t="s">
        <v>16</v>
      </c>
      <c r="I16" s="99" t="s">
        <v>115</v>
      </c>
      <c r="J16" s="101" t="s">
        <v>16</v>
      </c>
      <c r="K16" s="103" t="s">
        <v>18</v>
      </c>
    </row>
    <row r="17" spans="1:11" s="2" customFormat="1" ht="11.25" x14ac:dyDescent="0.25">
      <c r="A17" s="104"/>
      <c r="B17" s="84"/>
      <c r="C17" s="85"/>
      <c r="D17" s="86"/>
      <c r="E17" s="85"/>
      <c r="F17" s="87"/>
      <c r="G17" s="84"/>
      <c r="H17" s="84"/>
      <c r="I17" s="84"/>
      <c r="J17" s="86"/>
      <c r="K17" s="105"/>
    </row>
    <row r="18" spans="1:11" s="10" customFormat="1" ht="11.25" x14ac:dyDescent="0.2">
      <c r="A18" s="106">
        <v>1</v>
      </c>
      <c r="B18" s="88" t="s">
        <v>23</v>
      </c>
      <c r="C18" s="89">
        <f>'ORÇAMENTO não'!G16</f>
        <v>22176.17</v>
      </c>
      <c r="D18" s="90">
        <f t="shared" ref="D18:D32" si="0">C18/$C$34*100</f>
        <v>9.69</v>
      </c>
      <c r="E18" s="91">
        <f t="shared" ref="E18:E25" si="1">ROUND((C18*F18)/100,2)</f>
        <v>6652.85</v>
      </c>
      <c r="F18" s="90">
        <v>30</v>
      </c>
      <c r="G18" s="91">
        <f t="shared" ref="G18:G30" si="2">ROUND(C18*H18/100,2)</f>
        <v>6652.85</v>
      </c>
      <c r="H18" s="90">
        <v>30</v>
      </c>
      <c r="I18" s="91">
        <f>ROUND(C18*J18/100,2)</f>
        <v>8870.4699999999993</v>
      </c>
      <c r="J18" s="119">
        <f>100-F18-H18</f>
        <v>40</v>
      </c>
      <c r="K18" s="107">
        <f>C18</f>
        <v>22176.17</v>
      </c>
    </row>
    <row r="19" spans="1:11" s="10" customFormat="1" ht="11.25" x14ac:dyDescent="0.2">
      <c r="A19" s="106">
        <v>2</v>
      </c>
      <c r="B19" s="88" t="s">
        <v>25</v>
      </c>
      <c r="C19" s="89">
        <f>'ORÇAMENTO não'!G23</f>
        <v>5416.42</v>
      </c>
      <c r="D19" s="90">
        <f t="shared" si="0"/>
        <v>2.37</v>
      </c>
      <c r="E19" s="91">
        <f t="shared" si="1"/>
        <v>1624.93</v>
      </c>
      <c r="F19" s="90">
        <v>30</v>
      </c>
      <c r="G19" s="91">
        <f t="shared" si="2"/>
        <v>1624.93</v>
      </c>
      <c r="H19" s="90">
        <v>30</v>
      </c>
      <c r="I19" s="91">
        <f t="shared" ref="I19:I32" si="3">ROUND(C19*J19/100,2)</f>
        <v>2166.5700000000002</v>
      </c>
      <c r="J19" s="119">
        <f t="shared" ref="J19:J32" si="4">100-F19-H19</f>
        <v>40</v>
      </c>
      <c r="K19" s="107">
        <f t="shared" ref="K19:K32" si="5">C19</f>
        <v>5416.42</v>
      </c>
    </row>
    <row r="20" spans="1:11" s="10" customFormat="1" ht="11.25" x14ac:dyDescent="0.2">
      <c r="A20" s="106">
        <v>3</v>
      </c>
      <c r="B20" s="88" t="s">
        <v>26</v>
      </c>
      <c r="C20" s="89">
        <f>'ORÇAMENTO não'!G30</f>
        <v>11295.71</v>
      </c>
      <c r="D20" s="90">
        <f t="shared" si="0"/>
        <v>4.9400000000000004</v>
      </c>
      <c r="E20" s="91">
        <f t="shared" si="1"/>
        <v>3388.71</v>
      </c>
      <c r="F20" s="90">
        <v>30</v>
      </c>
      <c r="G20" s="91">
        <f t="shared" si="2"/>
        <v>3388.71</v>
      </c>
      <c r="H20" s="90">
        <v>30</v>
      </c>
      <c r="I20" s="91">
        <f t="shared" si="3"/>
        <v>4518.28</v>
      </c>
      <c r="J20" s="119">
        <f t="shared" si="4"/>
        <v>40</v>
      </c>
      <c r="K20" s="107">
        <f t="shared" si="5"/>
        <v>11295.71</v>
      </c>
    </row>
    <row r="21" spans="1:11" s="10" customFormat="1" ht="11.25" x14ac:dyDescent="0.2">
      <c r="A21" s="106">
        <v>4</v>
      </c>
      <c r="B21" s="88" t="s">
        <v>27</v>
      </c>
      <c r="C21" s="89">
        <f>'ORÇAMENTO não'!G37</f>
        <v>21121.52</v>
      </c>
      <c r="D21" s="90">
        <f t="shared" si="0"/>
        <v>9.23</v>
      </c>
      <c r="E21" s="91">
        <f t="shared" si="1"/>
        <v>6336.46</v>
      </c>
      <c r="F21" s="90">
        <v>30</v>
      </c>
      <c r="G21" s="91">
        <f t="shared" si="2"/>
        <v>6336.46</v>
      </c>
      <c r="H21" s="90">
        <v>30</v>
      </c>
      <c r="I21" s="91">
        <f t="shared" si="3"/>
        <v>8448.61</v>
      </c>
      <c r="J21" s="119">
        <f t="shared" si="4"/>
        <v>40</v>
      </c>
      <c r="K21" s="107">
        <f t="shared" si="5"/>
        <v>21121.52</v>
      </c>
    </row>
    <row r="22" spans="1:11" s="10" customFormat="1" ht="11.25" x14ac:dyDescent="0.2">
      <c r="A22" s="106">
        <v>5</v>
      </c>
      <c r="B22" s="88" t="s">
        <v>28</v>
      </c>
      <c r="C22" s="89">
        <f>'ORÇAMENTO não'!G44</f>
        <v>35763.78</v>
      </c>
      <c r="D22" s="90">
        <f t="shared" si="0"/>
        <v>15.63</v>
      </c>
      <c r="E22" s="91">
        <f t="shared" si="1"/>
        <v>10729.13</v>
      </c>
      <c r="F22" s="90">
        <v>30</v>
      </c>
      <c r="G22" s="91">
        <f t="shared" si="2"/>
        <v>10729.13</v>
      </c>
      <c r="H22" s="90">
        <v>30</v>
      </c>
      <c r="I22" s="91">
        <f t="shared" si="3"/>
        <v>14305.51</v>
      </c>
      <c r="J22" s="119">
        <f t="shared" si="4"/>
        <v>40</v>
      </c>
      <c r="K22" s="107">
        <f t="shared" si="5"/>
        <v>35763.78</v>
      </c>
    </row>
    <row r="23" spans="1:11" s="10" customFormat="1" ht="11.25" x14ac:dyDescent="0.2">
      <c r="A23" s="106">
        <v>6</v>
      </c>
      <c r="B23" s="88" t="s">
        <v>29</v>
      </c>
      <c r="C23" s="89">
        <f>'ORÇAMENTO não'!G51</f>
        <v>23011.5</v>
      </c>
      <c r="D23" s="90">
        <f t="shared" si="0"/>
        <v>10.06</v>
      </c>
      <c r="E23" s="91">
        <f t="shared" si="1"/>
        <v>6903.45</v>
      </c>
      <c r="F23" s="90">
        <v>30</v>
      </c>
      <c r="G23" s="91">
        <f t="shared" si="2"/>
        <v>6903.45</v>
      </c>
      <c r="H23" s="90">
        <v>30</v>
      </c>
      <c r="I23" s="91">
        <f t="shared" si="3"/>
        <v>9204.6</v>
      </c>
      <c r="J23" s="119">
        <f t="shared" si="4"/>
        <v>40</v>
      </c>
      <c r="K23" s="107">
        <f t="shared" si="5"/>
        <v>23011.5</v>
      </c>
    </row>
    <row r="24" spans="1:11" s="10" customFormat="1" ht="11.25" x14ac:dyDescent="0.2">
      <c r="A24" s="106">
        <v>7</v>
      </c>
      <c r="B24" s="88" t="s">
        <v>30</v>
      </c>
      <c r="C24" s="89">
        <f>'ORÇAMENTO não'!G58</f>
        <v>12455.67</v>
      </c>
      <c r="D24" s="90">
        <f t="shared" si="0"/>
        <v>5.44</v>
      </c>
      <c r="E24" s="91">
        <f t="shared" si="1"/>
        <v>3736.7</v>
      </c>
      <c r="F24" s="90">
        <v>30</v>
      </c>
      <c r="G24" s="91">
        <f t="shared" si="2"/>
        <v>3736.7</v>
      </c>
      <c r="H24" s="90">
        <v>30</v>
      </c>
      <c r="I24" s="91">
        <f t="shared" si="3"/>
        <v>4982.2700000000004</v>
      </c>
      <c r="J24" s="119">
        <f t="shared" si="4"/>
        <v>40</v>
      </c>
      <c r="K24" s="107">
        <f t="shared" si="5"/>
        <v>12455.67</v>
      </c>
    </row>
    <row r="25" spans="1:11" s="10" customFormat="1" ht="11.25" x14ac:dyDescent="0.2">
      <c r="A25" s="106">
        <v>8</v>
      </c>
      <c r="B25" s="88" t="s">
        <v>31</v>
      </c>
      <c r="C25" s="89">
        <f>'ORÇAMENTO não'!G65</f>
        <v>17939.849999999999</v>
      </c>
      <c r="D25" s="90">
        <f t="shared" si="0"/>
        <v>7.84</v>
      </c>
      <c r="E25" s="91">
        <f t="shared" si="1"/>
        <v>5381.96</v>
      </c>
      <c r="F25" s="90">
        <v>30</v>
      </c>
      <c r="G25" s="91">
        <f t="shared" si="2"/>
        <v>5381.96</v>
      </c>
      <c r="H25" s="90">
        <v>30</v>
      </c>
      <c r="I25" s="91">
        <f t="shared" si="3"/>
        <v>7175.94</v>
      </c>
      <c r="J25" s="119">
        <f t="shared" si="4"/>
        <v>40</v>
      </c>
      <c r="K25" s="107">
        <f t="shared" si="5"/>
        <v>17939.849999999999</v>
      </c>
    </row>
    <row r="26" spans="1:11" s="10" customFormat="1" ht="11.25" x14ac:dyDescent="0.2">
      <c r="A26" s="106">
        <v>9</v>
      </c>
      <c r="B26" s="88" t="s">
        <v>32</v>
      </c>
      <c r="C26" s="89">
        <f>'ORÇAMENTO não'!G72</f>
        <v>31794.23</v>
      </c>
      <c r="D26" s="90">
        <f t="shared" si="0"/>
        <v>13.9</v>
      </c>
      <c r="E26" s="91">
        <f t="shared" ref="E26:E28" si="6">ROUND((C26*F26)/100,2)</f>
        <v>9538.27</v>
      </c>
      <c r="F26" s="90">
        <v>30</v>
      </c>
      <c r="G26" s="91">
        <f t="shared" si="2"/>
        <v>9538.27</v>
      </c>
      <c r="H26" s="90">
        <v>30</v>
      </c>
      <c r="I26" s="91">
        <f t="shared" si="3"/>
        <v>12717.69</v>
      </c>
      <c r="J26" s="119">
        <f t="shared" si="4"/>
        <v>40</v>
      </c>
      <c r="K26" s="107">
        <f t="shared" si="5"/>
        <v>31794.23</v>
      </c>
    </row>
    <row r="27" spans="1:11" s="10" customFormat="1" ht="11.25" x14ac:dyDescent="0.2">
      <c r="A27" s="106">
        <v>10</v>
      </c>
      <c r="B27" s="88" t="s">
        <v>33</v>
      </c>
      <c r="C27" s="89">
        <f>'ORÇAMENTO não'!G79</f>
        <v>7195.37</v>
      </c>
      <c r="D27" s="90">
        <f t="shared" si="0"/>
        <v>3.14</v>
      </c>
      <c r="E27" s="91">
        <f t="shared" si="6"/>
        <v>2158.61</v>
      </c>
      <c r="F27" s="90">
        <v>30</v>
      </c>
      <c r="G27" s="91">
        <f t="shared" si="2"/>
        <v>2158.61</v>
      </c>
      <c r="H27" s="90">
        <v>30</v>
      </c>
      <c r="I27" s="91">
        <f t="shared" si="3"/>
        <v>2878.15</v>
      </c>
      <c r="J27" s="119">
        <f t="shared" si="4"/>
        <v>40</v>
      </c>
      <c r="K27" s="107">
        <f t="shared" si="5"/>
        <v>7195.37</v>
      </c>
    </row>
    <row r="28" spans="1:11" s="10" customFormat="1" ht="11.25" x14ac:dyDescent="0.2">
      <c r="A28" s="106">
        <v>11</v>
      </c>
      <c r="B28" s="88" t="s">
        <v>34</v>
      </c>
      <c r="C28" s="89">
        <f>'ORÇAMENTO não'!G86</f>
        <v>10785.78</v>
      </c>
      <c r="D28" s="90">
        <f t="shared" si="0"/>
        <v>4.71</v>
      </c>
      <c r="E28" s="91">
        <f t="shared" si="6"/>
        <v>3235.73</v>
      </c>
      <c r="F28" s="90">
        <v>30</v>
      </c>
      <c r="G28" s="91">
        <f t="shared" si="2"/>
        <v>3235.73</v>
      </c>
      <c r="H28" s="90">
        <v>30</v>
      </c>
      <c r="I28" s="91">
        <f t="shared" si="3"/>
        <v>4314.3100000000004</v>
      </c>
      <c r="J28" s="119">
        <f t="shared" si="4"/>
        <v>40</v>
      </c>
      <c r="K28" s="107">
        <f t="shared" si="5"/>
        <v>10785.78</v>
      </c>
    </row>
    <row r="29" spans="1:11" s="10" customFormat="1" ht="11.25" x14ac:dyDescent="0.2">
      <c r="A29" s="106">
        <v>12</v>
      </c>
      <c r="B29" s="88" t="s">
        <v>35</v>
      </c>
      <c r="C29" s="89">
        <f>'ORÇAMENTO não'!G93</f>
        <v>13844.46</v>
      </c>
      <c r="D29" s="90">
        <f t="shared" si="0"/>
        <v>6.05</v>
      </c>
      <c r="E29" s="91">
        <f>ROUND((C29*F29)/100,2)</f>
        <v>4153.34</v>
      </c>
      <c r="F29" s="90">
        <v>30</v>
      </c>
      <c r="G29" s="91">
        <f t="shared" si="2"/>
        <v>4153.34</v>
      </c>
      <c r="H29" s="90">
        <v>30</v>
      </c>
      <c r="I29" s="91">
        <f t="shared" si="3"/>
        <v>5537.78</v>
      </c>
      <c r="J29" s="119">
        <f t="shared" si="4"/>
        <v>40</v>
      </c>
      <c r="K29" s="107">
        <f t="shared" si="5"/>
        <v>13844.46</v>
      </c>
    </row>
    <row r="30" spans="1:11" s="10" customFormat="1" ht="11.25" x14ac:dyDescent="0.2">
      <c r="A30" s="106">
        <v>13</v>
      </c>
      <c r="B30" s="88" t="s">
        <v>36</v>
      </c>
      <c r="C30" s="89">
        <f>'ORÇAMENTO não'!G100</f>
        <v>520.54</v>
      </c>
      <c r="D30" s="90">
        <f t="shared" si="0"/>
        <v>0.23</v>
      </c>
      <c r="E30" s="91">
        <f>ROUND((C30*F30)/100,2)</f>
        <v>156.16</v>
      </c>
      <c r="F30" s="90">
        <v>30</v>
      </c>
      <c r="G30" s="91">
        <f t="shared" si="2"/>
        <v>156.16</v>
      </c>
      <c r="H30" s="90">
        <v>30</v>
      </c>
      <c r="I30" s="91">
        <f t="shared" si="3"/>
        <v>208.22</v>
      </c>
      <c r="J30" s="119">
        <f t="shared" si="4"/>
        <v>40</v>
      </c>
      <c r="K30" s="107">
        <f t="shared" si="5"/>
        <v>520.54</v>
      </c>
    </row>
    <row r="31" spans="1:11" s="10" customFormat="1" ht="11.25" x14ac:dyDescent="0.2">
      <c r="A31" s="106">
        <v>14</v>
      </c>
      <c r="B31" s="88" t="s">
        <v>108</v>
      </c>
      <c r="C31" s="89">
        <f>'ORÇAMENTO não'!G107</f>
        <v>10535.97</v>
      </c>
      <c r="D31" s="90">
        <f t="shared" si="0"/>
        <v>4.5999999999999996</v>
      </c>
      <c r="E31" s="91">
        <f t="shared" ref="E31:E32" si="7">ROUND((C31*F31)/100,2)</f>
        <v>3160.79</v>
      </c>
      <c r="F31" s="90">
        <v>30</v>
      </c>
      <c r="G31" s="91">
        <f t="shared" ref="G31" si="8">ROUND(C31*H31/100,2)</f>
        <v>3160.79</v>
      </c>
      <c r="H31" s="90">
        <v>30</v>
      </c>
      <c r="I31" s="91">
        <f t="shared" si="3"/>
        <v>4214.3900000000003</v>
      </c>
      <c r="J31" s="119">
        <f t="shared" si="4"/>
        <v>40</v>
      </c>
      <c r="K31" s="107">
        <f t="shared" si="5"/>
        <v>10535.97</v>
      </c>
    </row>
    <row r="32" spans="1:11" s="10" customFormat="1" ht="11.25" x14ac:dyDescent="0.2">
      <c r="A32" s="106">
        <v>15</v>
      </c>
      <c r="B32" s="88" t="s">
        <v>114</v>
      </c>
      <c r="C32" s="89">
        <f>'ORÇAMENTO não'!G114</f>
        <v>4950.97</v>
      </c>
      <c r="D32" s="90">
        <f t="shared" si="0"/>
        <v>2.16</v>
      </c>
      <c r="E32" s="91">
        <f t="shared" si="7"/>
        <v>1485.29</v>
      </c>
      <c r="F32" s="90">
        <v>30</v>
      </c>
      <c r="G32" s="91">
        <f>ROUND(C32*H32/100,2)</f>
        <v>1485.29</v>
      </c>
      <c r="H32" s="90">
        <v>30</v>
      </c>
      <c r="I32" s="91">
        <f t="shared" si="3"/>
        <v>1980.39</v>
      </c>
      <c r="J32" s="119">
        <f t="shared" si="4"/>
        <v>40</v>
      </c>
      <c r="K32" s="107">
        <f t="shared" si="5"/>
        <v>4950.97</v>
      </c>
    </row>
    <row r="33" spans="1:16" s="10" customFormat="1" ht="11.25" x14ac:dyDescent="0.2">
      <c r="A33" s="108"/>
      <c r="B33" s="92"/>
      <c r="C33" s="91"/>
      <c r="D33" s="90"/>
      <c r="E33" s="91"/>
      <c r="F33" s="93"/>
      <c r="G33" s="91"/>
      <c r="H33" s="91"/>
      <c r="I33" s="91"/>
      <c r="J33" s="90"/>
      <c r="K33" s="109"/>
    </row>
    <row r="34" spans="1:16" s="10" customFormat="1" ht="11.25" x14ac:dyDescent="0.2">
      <c r="A34" s="108"/>
      <c r="B34" s="94" t="s">
        <v>19</v>
      </c>
      <c r="C34" s="95">
        <f>SUM(C18:C33)</f>
        <v>228807.94</v>
      </c>
      <c r="D34" s="96">
        <f>SUM(D18:D33)</f>
        <v>100</v>
      </c>
      <c r="E34" s="91">
        <f>ROUND(SUM(E18:E33),2)</f>
        <v>68642.38</v>
      </c>
      <c r="F34" s="93">
        <f>E34/C34*100</f>
        <v>30</v>
      </c>
      <c r="G34" s="91">
        <f>SUM(G18:G33)</f>
        <v>68642.38</v>
      </c>
      <c r="H34" s="93">
        <f>G34/C34*100</f>
        <v>30</v>
      </c>
      <c r="I34" s="91">
        <f>SUM(I18:I33)</f>
        <v>91523.18</v>
      </c>
      <c r="J34" s="90">
        <f>I34/$C$34*100</f>
        <v>40</v>
      </c>
      <c r="K34" s="107">
        <f>SUM(K18:K33)</f>
        <v>228807.94</v>
      </c>
    </row>
    <row r="35" spans="1:16" s="10" customFormat="1" ht="12" thickBot="1" x14ac:dyDescent="0.25">
      <c r="A35" s="110"/>
      <c r="B35" s="111" t="s">
        <v>20</v>
      </c>
      <c r="C35" s="112"/>
      <c r="D35" s="113"/>
      <c r="E35" s="114">
        <f>E34</f>
        <v>68642.38</v>
      </c>
      <c r="F35" s="115">
        <f>E35/$C$34*100</f>
        <v>30</v>
      </c>
      <c r="G35" s="114">
        <f>E35+G34</f>
        <v>137284.76</v>
      </c>
      <c r="H35" s="114">
        <f>F35+H34</f>
        <v>60</v>
      </c>
      <c r="I35" s="114">
        <f>G35+I34</f>
        <v>228807.94</v>
      </c>
      <c r="J35" s="113">
        <f>J34+H35</f>
        <v>100</v>
      </c>
      <c r="K35" s="116"/>
    </row>
    <row r="36" spans="1:16" s="10" customFormat="1" ht="15.75" x14ac:dyDescent="0.25">
      <c r="A36" s="42"/>
      <c r="B36" s="19"/>
      <c r="C36" s="20"/>
      <c r="D36" s="3"/>
      <c r="E36" s="4"/>
      <c r="F36" s="3"/>
      <c r="J36" s="22"/>
      <c r="K36" s="21"/>
      <c r="L36" s="21"/>
      <c r="M36" s="21"/>
      <c r="N36" s="21"/>
      <c r="O36" s="21"/>
      <c r="P36" s="21"/>
    </row>
    <row r="38" spans="1:16" x14ac:dyDescent="0.25">
      <c r="K38" s="97"/>
      <c r="L38" s="97"/>
      <c r="M38" s="97"/>
    </row>
  </sheetData>
  <mergeCells count="5">
    <mergeCell ref="A5:K5"/>
    <mergeCell ref="A7:J7"/>
    <mergeCell ref="A9:J9"/>
    <mergeCell ref="A10:J10"/>
    <mergeCell ref="A14:K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horizontalDpi="4294967295" r:id="rId1"/>
  <ignoredErrors>
    <ignoredError sqref="H34 J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view="pageBreakPreview" zoomScaleNormal="85" zoomScaleSheetLayoutView="100" workbookViewId="0">
      <selection activeCell="C44" sqref="C44"/>
    </sheetView>
  </sheetViews>
  <sheetFormatPr defaultRowHeight="14.25" x14ac:dyDescent="0.25"/>
  <cols>
    <col min="1" max="1" width="8" style="39" customWidth="1"/>
    <col min="2" max="2" width="13.28515625" style="39" customWidth="1"/>
    <col min="3" max="3" width="75.140625" style="29" customWidth="1"/>
    <col min="4" max="4" width="9.140625" style="29"/>
    <col min="5" max="5" width="10.28515625" style="40" customWidth="1"/>
    <col min="6" max="6" width="12.140625" style="40" customWidth="1"/>
    <col min="7" max="7" width="18.28515625" style="40" customWidth="1"/>
    <col min="8" max="8" width="2.85546875" style="28" customWidth="1"/>
    <col min="9" max="11" width="0" style="29" hidden="1" customWidth="1"/>
    <col min="12" max="12" width="9.140625" style="29"/>
    <col min="13" max="13" width="10.28515625" style="29" customWidth="1"/>
    <col min="14" max="16384" width="9.140625" style="29"/>
  </cols>
  <sheetData>
    <row r="1" spans="1:8" x14ac:dyDescent="0.25">
      <c r="A1" s="25"/>
      <c r="B1" s="25"/>
      <c r="C1" s="24"/>
      <c r="D1" s="24"/>
      <c r="E1" s="26"/>
      <c r="F1" s="26"/>
      <c r="G1" s="27"/>
    </row>
    <row r="2" spans="1:8" x14ac:dyDescent="0.25">
      <c r="A2" s="129" t="s">
        <v>118</v>
      </c>
      <c r="B2" s="130"/>
      <c r="C2" s="130"/>
      <c r="D2" s="130"/>
      <c r="E2" s="130"/>
      <c r="F2" s="130"/>
      <c r="G2" s="131"/>
    </row>
    <row r="3" spans="1:8" ht="15" x14ac:dyDescent="0.25">
      <c r="A3" s="132"/>
      <c r="B3" s="133"/>
      <c r="C3" s="133"/>
      <c r="D3" s="133"/>
      <c r="E3" s="133"/>
      <c r="F3" s="133"/>
      <c r="G3" s="134"/>
    </row>
    <row r="4" spans="1:8" ht="15" x14ac:dyDescent="0.25">
      <c r="A4" s="132" t="s">
        <v>0</v>
      </c>
      <c r="B4" s="133"/>
      <c r="C4" s="133"/>
      <c r="D4" s="133"/>
      <c r="E4" s="133"/>
      <c r="F4" s="133"/>
      <c r="G4" s="134"/>
    </row>
    <row r="5" spans="1:8" ht="15" x14ac:dyDescent="0.25">
      <c r="A5" s="135"/>
      <c r="B5" s="136"/>
      <c r="C5" s="136"/>
      <c r="D5" s="136"/>
      <c r="E5" s="136"/>
      <c r="F5" s="136"/>
      <c r="G5" s="137"/>
    </row>
    <row r="6" spans="1:8" ht="15" x14ac:dyDescent="0.25">
      <c r="A6" s="34" t="s">
        <v>1</v>
      </c>
      <c r="B6" s="127" t="s">
        <v>128</v>
      </c>
      <c r="C6" s="127"/>
      <c r="D6" s="127"/>
      <c r="E6" s="127"/>
      <c r="F6" s="127"/>
      <c r="G6" s="127"/>
    </row>
    <row r="7" spans="1:8" ht="15" x14ac:dyDescent="0.25">
      <c r="A7" s="34" t="s">
        <v>2</v>
      </c>
      <c r="B7" s="127" t="s">
        <v>22</v>
      </c>
      <c r="C7" s="127"/>
      <c r="D7" s="127"/>
      <c r="E7" s="127"/>
      <c r="F7" s="127"/>
      <c r="G7" s="127"/>
    </row>
    <row r="8" spans="1:8" x14ac:dyDescent="0.25">
      <c r="A8" s="30"/>
      <c r="B8" s="31"/>
      <c r="C8" s="31"/>
      <c r="D8" s="31"/>
      <c r="E8" s="31"/>
      <c r="F8" s="31"/>
      <c r="G8" s="32"/>
    </row>
    <row r="9" spans="1:8" s="39" customFormat="1" ht="15" x14ac:dyDescent="0.25">
      <c r="A9" s="78" t="s">
        <v>3</v>
      </c>
      <c r="B9" s="78" t="s">
        <v>4</v>
      </c>
      <c r="C9" s="78" t="s">
        <v>5</v>
      </c>
      <c r="D9" s="78" t="s">
        <v>93</v>
      </c>
      <c r="E9" s="79" t="s">
        <v>6</v>
      </c>
      <c r="F9" s="79" t="s">
        <v>91</v>
      </c>
      <c r="G9" s="79" t="s">
        <v>92</v>
      </c>
      <c r="H9" s="80"/>
    </row>
    <row r="10" spans="1:8" ht="15" x14ac:dyDescent="0.25">
      <c r="A10" s="34">
        <v>1</v>
      </c>
      <c r="B10" s="34"/>
      <c r="C10" s="35" t="s">
        <v>124</v>
      </c>
      <c r="D10" s="44"/>
      <c r="E10" s="45"/>
      <c r="F10" s="46"/>
      <c r="G10" s="46"/>
    </row>
    <row r="11" spans="1:8" ht="15" x14ac:dyDescent="0.25">
      <c r="A11" s="34" t="s">
        <v>120</v>
      </c>
      <c r="B11" s="34"/>
      <c r="C11" s="35" t="s">
        <v>119</v>
      </c>
      <c r="D11" s="44"/>
      <c r="E11" s="45"/>
      <c r="F11" s="46"/>
      <c r="G11" s="50"/>
    </row>
    <row r="12" spans="1:8" x14ac:dyDescent="0.25">
      <c r="A12" s="81" t="s">
        <v>10</v>
      </c>
      <c r="B12" s="51">
        <v>20010007</v>
      </c>
      <c r="C12" s="48" t="s">
        <v>64</v>
      </c>
      <c r="D12" s="51" t="s">
        <v>65</v>
      </c>
      <c r="E12" s="52">
        <f>(E19*2)*0.2</f>
        <v>979.69</v>
      </c>
      <c r="F12" s="52">
        <v>19.3</v>
      </c>
      <c r="G12" s="50">
        <f>ROUND(E12*F12,2)</f>
        <v>18908.02</v>
      </c>
    </row>
    <row r="13" spans="1:8" ht="15" x14ac:dyDescent="0.25">
      <c r="A13" s="34" t="s">
        <v>121</v>
      </c>
      <c r="B13" s="51"/>
      <c r="C13" s="122" t="s">
        <v>125</v>
      </c>
      <c r="D13" s="51"/>
      <c r="E13" s="52"/>
      <c r="F13" s="52"/>
      <c r="G13" s="50"/>
    </row>
    <row r="14" spans="1:8" x14ac:dyDescent="0.25">
      <c r="A14" s="81" t="s">
        <v>123</v>
      </c>
      <c r="B14" s="55">
        <v>20040006</v>
      </c>
      <c r="C14" s="56" t="s">
        <v>66</v>
      </c>
      <c r="D14" s="55" t="s">
        <v>65</v>
      </c>
      <c r="E14" s="57">
        <f>E12</f>
        <v>979.69</v>
      </c>
      <c r="F14" s="57">
        <v>8.93</v>
      </c>
      <c r="G14" s="50">
        <f>ROUND(E14*F14,2)</f>
        <v>8748.6299999999992</v>
      </c>
    </row>
    <row r="15" spans="1:8" ht="15" x14ac:dyDescent="0.25">
      <c r="A15" s="82"/>
      <c r="B15" s="73"/>
      <c r="C15" s="74"/>
      <c r="D15" s="75"/>
      <c r="E15" s="76"/>
      <c r="F15" s="77" t="s">
        <v>8</v>
      </c>
      <c r="G15" s="153">
        <f>SUM(G11:G14)</f>
        <v>27656.65</v>
      </c>
    </row>
    <row r="16" spans="1:8" ht="15" x14ac:dyDescent="0.25">
      <c r="A16" s="34">
        <v>2</v>
      </c>
      <c r="B16" s="51"/>
      <c r="C16" s="122" t="s">
        <v>122</v>
      </c>
      <c r="D16" s="51"/>
      <c r="E16" s="52"/>
      <c r="F16" s="52"/>
      <c r="G16" s="50"/>
    </row>
    <row r="17" spans="1:10" ht="15" x14ac:dyDescent="0.25">
      <c r="A17" s="34" t="s">
        <v>126</v>
      </c>
      <c r="B17" s="51"/>
      <c r="C17" s="122" t="s">
        <v>122</v>
      </c>
      <c r="D17" s="51"/>
      <c r="E17" s="52"/>
      <c r="F17" s="52"/>
      <c r="G17" s="50"/>
    </row>
    <row r="18" spans="1:10" x14ac:dyDescent="0.2">
      <c r="A18" s="81" t="s">
        <v>37</v>
      </c>
      <c r="B18" s="47">
        <v>140030009</v>
      </c>
      <c r="C18" s="48" t="s">
        <v>116</v>
      </c>
      <c r="D18" s="38" t="s">
        <v>9</v>
      </c>
      <c r="E18" s="49">
        <f>'ORÇAMENTO não'!E11+'ORÇAMENTO não'!E18+'ORÇAMENTO não'!E25+'ORÇAMENTO não'!E32+'ORÇAMENTO não'!E39+'ORÇAMENTO não'!E46+'ORÇAMENTO não'!E53+'ORÇAMENTO não'!E60+'ORÇAMENTO não'!E67+'ORÇAMENTO não'!E74+'ORÇAMENTO não'!E81+'ORÇAMENTO não'!E88+'ORÇAMENTO não'!E95+'ORÇAMENTO não'!E102+'ORÇAMENTO não'!E109</f>
        <v>3404.19</v>
      </c>
      <c r="F18" s="49">
        <v>12.23</v>
      </c>
      <c r="G18" s="50">
        <f>ROUND(E18*F18,2)</f>
        <v>41633.24</v>
      </c>
      <c r="H18" s="36"/>
      <c r="J18" s="29">
        <v>3.2</v>
      </c>
    </row>
    <row r="19" spans="1:10" ht="28.5" x14ac:dyDescent="0.2">
      <c r="A19" s="81" t="s">
        <v>38</v>
      </c>
      <c r="B19" s="51">
        <v>140030030</v>
      </c>
      <c r="C19" s="48" t="s">
        <v>61</v>
      </c>
      <c r="D19" s="51" t="s">
        <v>7</v>
      </c>
      <c r="E19" s="52">
        <f>'ORÇAMENTO não'!E12+'ORÇAMENTO não'!E19+'ORÇAMENTO não'!E26+'ORÇAMENTO não'!E33+'ORÇAMENTO não'!E40+'ORÇAMENTO não'!E47+'ORÇAMENTO não'!E54+'ORÇAMENTO não'!E61+'ORÇAMENTO não'!E68+'ORÇAMENTO não'!E75+'ORÇAMENTO não'!E82+'ORÇAMENTO não'!E89+'ORÇAMENTO não'!E96+'ORÇAMENTO não'!E103+'ORÇAMENTO não'!E110</f>
        <v>2449.2199999999998</v>
      </c>
      <c r="F19" s="52">
        <v>34.42</v>
      </c>
      <c r="G19" s="50">
        <f>ROUND(E19*F19,2)</f>
        <v>84302.15</v>
      </c>
      <c r="H19" s="36"/>
    </row>
    <row r="20" spans="1:10" ht="28.5" x14ac:dyDescent="0.2">
      <c r="A20" s="81" t="s">
        <v>89</v>
      </c>
      <c r="B20" s="51">
        <v>140030031</v>
      </c>
      <c r="C20" s="48" t="s">
        <v>94</v>
      </c>
      <c r="D20" s="51" t="s">
        <v>7</v>
      </c>
      <c r="E20" s="52">
        <f>E19</f>
        <v>2449.2199999999998</v>
      </c>
      <c r="F20" s="52">
        <v>30.71</v>
      </c>
      <c r="G20" s="50">
        <f>ROUND(E20*F20,2)</f>
        <v>75215.55</v>
      </c>
      <c r="H20" s="36"/>
    </row>
    <row r="21" spans="1:10" ht="15" x14ac:dyDescent="0.25">
      <c r="A21" s="82"/>
      <c r="B21" s="73"/>
      <c r="C21" s="74"/>
      <c r="D21" s="75"/>
      <c r="E21" s="76"/>
      <c r="F21" s="77" t="s">
        <v>8</v>
      </c>
      <c r="G21" s="77">
        <f>SUM(G17:G20)</f>
        <v>201150.94</v>
      </c>
      <c r="H21" s="37"/>
    </row>
    <row r="22" spans="1:10" x14ac:dyDescent="0.2">
      <c r="A22" s="30"/>
      <c r="B22" s="64"/>
      <c r="C22" s="65"/>
      <c r="D22" s="64"/>
      <c r="E22" s="66"/>
      <c r="F22" s="66"/>
      <c r="G22" s="67"/>
      <c r="H22" s="36"/>
    </row>
    <row r="23" spans="1:10" ht="15" x14ac:dyDescent="0.2">
      <c r="A23" s="151" t="s">
        <v>130</v>
      </c>
      <c r="B23" s="151"/>
      <c r="C23" s="151"/>
      <c r="D23" s="151"/>
      <c r="E23" s="151"/>
      <c r="F23" s="151"/>
      <c r="G23" s="150">
        <f>G15+G21</f>
        <v>228807.59</v>
      </c>
      <c r="H23" s="36"/>
    </row>
    <row r="24" spans="1:10" x14ac:dyDescent="0.2">
      <c r="A24" s="30"/>
      <c r="B24" s="64"/>
      <c r="C24" s="65"/>
      <c r="D24" s="64"/>
      <c r="E24" s="66"/>
      <c r="F24" s="66"/>
      <c r="G24" s="149"/>
      <c r="H24" s="36"/>
    </row>
    <row r="25" spans="1:10" ht="15" x14ac:dyDescent="0.2">
      <c r="A25" s="82"/>
      <c r="B25" s="73"/>
      <c r="C25" s="74"/>
      <c r="D25" s="75"/>
      <c r="E25" s="76"/>
      <c r="F25" s="77" t="s">
        <v>129</v>
      </c>
      <c r="G25" s="150">
        <f>G23*0.22</f>
        <v>50337.67</v>
      </c>
      <c r="H25" s="36"/>
    </row>
    <row r="26" spans="1:10" x14ac:dyDescent="0.2">
      <c r="A26" s="145"/>
      <c r="B26" s="146"/>
      <c r="C26" s="147"/>
      <c r="D26" s="146"/>
      <c r="E26" s="148"/>
      <c r="F26" s="148"/>
      <c r="G26" s="149"/>
      <c r="H26" s="36"/>
    </row>
    <row r="27" spans="1:10" ht="15" x14ac:dyDescent="0.25">
      <c r="A27" s="151" t="s">
        <v>24</v>
      </c>
      <c r="B27" s="151"/>
      <c r="C27" s="151"/>
      <c r="D27" s="151"/>
      <c r="E27" s="151"/>
      <c r="F27" s="151"/>
      <c r="G27" s="152">
        <f>G23+G25</f>
        <v>279145.26</v>
      </c>
    </row>
    <row r="29" spans="1:10" ht="29.25" customHeight="1" x14ac:dyDescent="0.25">
      <c r="A29" s="124" t="s">
        <v>131</v>
      </c>
      <c r="B29" s="125"/>
      <c r="C29" s="125"/>
      <c r="D29" s="125"/>
      <c r="E29" s="125"/>
      <c r="F29" s="125"/>
      <c r="G29" s="126"/>
    </row>
    <row r="33" spans="3:3" x14ac:dyDescent="0.25">
      <c r="C33" s="40"/>
    </row>
    <row r="221" spans="1:8" x14ac:dyDescent="0.25">
      <c r="A221" s="29"/>
      <c r="B221" s="29"/>
      <c r="F221" s="29"/>
      <c r="G221" s="29"/>
      <c r="H221" s="29"/>
    </row>
  </sheetData>
  <mergeCells count="9">
    <mergeCell ref="A27:F27"/>
    <mergeCell ref="A29:G29"/>
    <mergeCell ref="A2:G2"/>
    <mergeCell ref="A3:G3"/>
    <mergeCell ref="A4:G4"/>
    <mergeCell ref="A5:G5"/>
    <mergeCell ref="B6:G6"/>
    <mergeCell ref="B7:G7"/>
    <mergeCell ref="A23:F23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topLeftCell="A7" zoomScaleNormal="100" zoomScaleSheetLayoutView="100" workbookViewId="0">
      <selection activeCell="F20" sqref="F20"/>
    </sheetView>
  </sheetViews>
  <sheetFormatPr defaultRowHeight="15" x14ac:dyDescent="0.25"/>
  <cols>
    <col min="1" max="1" width="5.5703125" style="41" customWidth="1"/>
    <col min="2" max="2" width="23.28515625" customWidth="1"/>
    <col min="3" max="4" width="9.42578125" customWidth="1"/>
    <col min="5" max="5" width="11" style="15" customWidth="1"/>
    <col min="6" max="6" width="7.7109375" style="16" customWidth="1"/>
    <col min="7" max="7" width="10.140625" style="15" customWidth="1"/>
    <col min="8" max="8" width="9.28515625" style="17" customWidth="1"/>
    <col min="9" max="11" width="10.140625" customWidth="1"/>
    <col min="12" max="12" width="9.140625" style="5"/>
    <col min="13" max="13" width="12.140625" style="5" customWidth="1"/>
  </cols>
  <sheetData>
    <row r="1" spans="1:13" x14ac:dyDescent="0.25">
      <c r="A1" s="6"/>
      <c r="B1" s="1"/>
      <c r="C1" s="1"/>
      <c r="D1" s="1"/>
      <c r="E1" s="2"/>
      <c r="F1" s="2"/>
      <c r="G1" s="2"/>
      <c r="H1" s="3"/>
      <c r="I1" s="4"/>
      <c r="J1" s="4"/>
      <c r="K1" s="4"/>
      <c r="L1" s="3"/>
    </row>
    <row r="2" spans="1:13" x14ac:dyDescent="0.25">
      <c r="A2" s="6"/>
      <c r="B2" s="1"/>
      <c r="C2" s="1"/>
      <c r="D2" s="1"/>
      <c r="E2" s="2"/>
      <c r="F2" s="2"/>
      <c r="G2" s="2"/>
      <c r="H2" s="3"/>
      <c r="I2" s="4"/>
      <c r="J2" s="4"/>
      <c r="K2" s="4"/>
      <c r="L2" s="3"/>
    </row>
    <row r="3" spans="1:13" x14ac:dyDescent="0.25">
      <c r="A3" s="6"/>
      <c r="B3" s="1"/>
      <c r="C3" s="1"/>
      <c r="D3" s="1"/>
      <c r="E3" s="2"/>
      <c r="F3" s="2"/>
      <c r="G3" s="2"/>
      <c r="H3" s="3"/>
      <c r="I3" s="4"/>
      <c r="J3" s="4"/>
      <c r="K3" s="4"/>
      <c r="L3" s="3"/>
    </row>
    <row r="4" spans="1:13" x14ac:dyDescent="0.25">
      <c r="A4" s="6"/>
      <c r="B4" s="1"/>
      <c r="C4" s="1"/>
      <c r="D4" s="1"/>
      <c r="E4" s="2"/>
      <c r="F4" s="2"/>
      <c r="G4" s="2"/>
      <c r="H4" s="3"/>
      <c r="I4" s="4"/>
      <c r="J4" s="4"/>
      <c r="K4" s="4"/>
      <c r="L4" s="3"/>
    </row>
    <row r="5" spans="1:13" ht="15.75" x14ac:dyDescent="0.25">
      <c r="A5" s="138" t="s">
        <v>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x14ac:dyDescent="0.25">
      <c r="A6" s="6"/>
      <c r="B6" s="7"/>
      <c r="C6" s="7"/>
      <c r="D6" s="7"/>
      <c r="E6" s="2"/>
      <c r="F6" s="2"/>
      <c r="G6" s="2"/>
      <c r="H6" s="3"/>
      <c r="I6" s="4"/>
      <c r="J6" s="4"/>
      <c r="K6" s="4"/>
      <c r="L6" s="3"/>
      <c r="M6" s="8"/>
    </row>
    <row r="7" spans="1:13" s="10" customFormat="1" ht="15.75" x14ac:dyDescent="0.2">
      <c r="A7" s="139" t="s">
        <v>127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20"/>
    </row>
    <row r="8" spans="1:13" s="10" customFormat="1" ht="15.75" x14ac:dyDescent="0.2">
      <c r="A8" s="120"/>
      <c r="B8" s="120"/>
      <c r="C8" s="123"/>
      <c r="D8" s="123"/>
      <c r="E8" s="120"/>
      <c r="F8" s="120"/>
      <c r="G8" s="120"/>
      <c r="H8" s="120"/>
      <c r="I8" s="120"/>
      <c r="J8" s="120"/>
      <c r="K8" s="120"/>
      <c r="L8" s="120"/>
      <c r="M8" s="120"/>
    </row>
    <row r="9" spans="1:13" s="10" customFormat="1" ht="11.25" x14ac:dyDescent="0.2">
      <c r="A9" s="140" t="s">
        <v>128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1">
        <v>41565</v>
      </c>
    </row>
    <row r="10" spans="1:13" s="10" customFormat="1" ht="11.25" customHeight="1" x14ac:dyDescent="0.2">
      <c r="A10" s="141" t="s">
        <v>22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21"/>
    </row>
    <row r="11" spans="1:13" s="10" customForma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0" customForma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0" customFormat="1" ht="15.75" thickBo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4" customFormat="1" ht="12.75" thickBot="1" x14ac:dyDescent="0.25">
      <c r="A14" s="142" t="s">
        <v>13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3" ht="15.75" thickBot="1" x14ac:dyDescent="0.3">
      <c r="M15" s="18"/>
    </row>
    <row r="16" spans="1:13" s="2" customFormat="1" ht="11.25" x14ac:dyDescent="0.25">
      <c r="A16" s="98" t="s">
        <v>3</v>
      </c>
      <c r="B16" s="99" t="s">
        <v>14</v>
      </c>
      <c r="C16" s="99" t="s">
        <v>15</v>
      </c>
      <c r="D16" s="99" t="s">
        <v>132</v>
      </c>
      <c r="E16" s="100" t="s">
        <v>15</v>
      </c>
      <c r="F16" s="101" t="s">
        <v>16</v>
      </c>
      <c r="G16" s="100" t="s">
        <v>17</v>
      </c>
      <c r="H16" s="102" t="s">
        <v>16</v>
      </c>
      <c r="I16" s="99" t="s">
        <v>21</v>
      </c>
      <c r="J16" s="102" t="s">
        <v>16</v>
      </c>
      <c r="K16" s="99" t="s">
        <v>115</v>
      </c>
      <c r="L16" s="101" t="s">
        <v>16</v>
      </c>
      <c r="M16" s="103" t="s">
        <v>18</v>
      </c>
    </row>
    <row r="17" spans="1:18" s="2" customFormat="1" ht="11.25" x14ac:dyDescent="0.25">
      <c r="A17" s="104"/>
      <c r="B17" s="84"/>
      <c r="C17" s="84"/>
      <c r="D17" s="84"/>
      <c r="E17" s="85"/>
      <c r="F17" s="86"/>
      <c r="G17" s="85"/>
      <c r="H17" s="87"/>
      <c r="I17" s="84"/>
      <c r="J17" s="84"/>
      <c r="K17" s="84"/>
      <c r="L17" s="86"/>
      <c r="M17" s="105"/>
    </row>
    <row r="18" spans="1:18" s="10" customFormat="1" ht="22.5" x14ac:dyDescent="0.2">
      <c r="A18" s="104">
        <v>1</v>
      </c>
      <c r="B18" s="154" t="s">
        <v>124</v>
      </c>
      <c r="C18" s="164">
        <f>'ORÇAMENTO CONSOLIDADO'!G15</f>
        <v>27656.65</v>
      </c>
      <c r="D18" s="164">
        <f>C18*0.22</f>
        <v>6084.46</v>
      </c>
      <c r="E18" s="165">
        <f>D18+C18</f>
        <v>33741.11</v>
      </c>
      <c r="F18" s="90">
        <f>E18/$E$21*100</f>
        <v>12.09</v>
      </c>
      <c r="G18" s="91">
        <f t="shared" ref="G18:G19" si="0">ROUND((E18*H18)/100,2)</f>
        <v>10122.33</v>
      </c>
      <c r="H18" s="90">
        <v>30</v>
      </c>
      <c r="I18" s="91">
        <f t="shared" ref="I18:I19" si="1">ROUND(E18*J18/100,2)</f>
        <v>10122.33</v>
      </c>
      <c r="J18" s="90">
        <v>30</v>
      </c>
      <c r="K18" s="91">
        <f>ROUND(E18*L18/100,2)</f>
        <v>13496.44</v>
      </c>
      <c r="L18" s="90">
        <f>100-H18-J18</f>
        <v>40</v>
      </c>
      <c r="M18" s="107">
        <f>E18</f>
        <v>33741.11</v>
      </c>
    </row>
    <row r="19" spans="1:18" s="10" customFormat="1" ht="11.25" x14ac:dyDescent="0.2">
      <c r="A19" s="104">
        <v>2</v>
      </c>
      <c r="B19" s="154" t="s">
        <v>122</v>
      </c>
      <c r="C19" s="164">
        <f>'ORÇAMENTO CONSOLIDADO'!G21</f>
        <v>201150.94</v>
      </c>
      <c r="D19" s="164">
        <f>C19*0.22</f>
        <v>44253.21</v>
      </c>
      <c r="E19" s="165">
        <f>D19+C19</f>
        <v>245404.15</v>
      </c>
      <c r="F19" s="90">
        <f>E19/$E$21*100</f>
        <v>87.91</v>
      </c>
      <c r="G19" s="91">
        <f t="shared" si="0"/>
        <v>73621.25</v>
      </c>
      <c r="H19" s="90">
        <v>30</v>
      </c>
      <c r="I19" s="91">
        <f t="shared" si="1"/>
        <v>73621.25</v>
      </c>
      <c r="J19" s="90">
        <v>30</v>
      </c>
      <c r="K19" s="91">
        <f t="shared" ref="K19" si="2">ROUND(E19*L19/100,2)</f>
        <v>98161.66</v>
      </c>
      <c r="L19" s="90">
        <f t="shared" ref="L19" si="3">100-H19-J19</f>
        <v>40</v>
      </c>
      <c r="M19" s="107">
        <f t="shared" ref="M19" si="4">E19</f>
        <v>245404.15</v>
      </c>
    </row>
    <row r="20" spans="1:18" s="10" customFormat="1" ht="11.25" x14ac:dyDescent="0.2">
      <c r="A20" s="155"/>
      <c r="B20" s="156"/>
      <c r="C20" s="91"/>
      <c r="D20" s="91"/>
      <c r="E20" s="91"/>
      <c r="F20" s="90"/>
      <c r="G20" s="91"/>
      <c r="H20" s="93"/>
      <c r="I20" s="91"/>
      <c r="J20" s="91"/>
      <c r="K20" s="91"/>
      <c r="L20" s="90"/>
      <c r="M20" s="109"/>
    </row>
    <row r="21" spans="1:18" s="10" customFormat="1" ht="11.25" x14ac:dyDescent="0.2">
      <c r="A21" s="155"/>
      <c r="B21" s="157" t="s">
        <v>19</v>
      </c>
      <c r="C21" s="85">
        <f>SUM(C18:C20)</f>
        <v>228807.59</v>
      </c>
      <c r="D21" s="85">
        <f>SUM(D18:D20)</f>
        <v>50337.67</v>
      </c>
      <c r="E21" s="85">
        <f>SUM(E18:E20)</f>
        <v>279145.26</v>
      </c>
      <c r="F21" s="160">
        <f>SUM(F18:F20)</f>
        <v>100</v>
      </c>
      <c r="G21" s="85">
        <f>ROUND(SUM(G18:G20),2)</f>
        <v>83743.58</v>
      </c>
      <c r="H21" s="87">
        <f>G21/E21*100</f>
        <v>30</v>
      </c>
      <c r="I21" s="85">
        <f>SUM(I18:I20)</f>
        <v>83743.58</v>
      </c>
      <c r="J21" s="87">
        <f>I21/E21*100</f>
        <v>30</v>
      </c>
      <c r="K21" s="85">
        <f>SUM(K18:K20)</f>
        <v>111658.1</v>
      </c>
      <c r="L21" s="86">
        <f>K21/$E$21*100</f>
        <v>40</v>
      </c>
      <c r="M21" s="107">
        <f>SUM(M18:M20)</f>
        <v>279145.26</v>
      </c>
    </row>
    <row r="22" spans="1:18" s="10" customFormat="1" ht="12" thickBot="1" x14ac:dyDescent="0.25">
      <c r="A22" s="158"/>
      <c r="B22" s="159" t="s">
        <v>20</v>
      </c>
      <c r="C22" s="112"/>
      <c r="D22" s="112"/>
      <c r="E22" s="112"/>
      <c r="F22" s="161"/>
      <c r="G22" s="112">
        <f>G21</f>
        <v>83743.58</v>
      </c>
      <c r="H22" s="162">
        <f>G22/$E$21*100</f>
        <v>30</v>
      </c>
      <c r="I22" s="112">
        <f>G22+I21</f>
        <v>167487.16</v>
      </c>
      <c r="J22" s="112">
        <f>H22+J21</f>
        <v>60</v>
      </c>
      <c r="K22" s="112">
        <f>I22+K21</f>
        <v>279145.26</v>
      </c>
      <c r="L22" s="161">
        <f>L21+J22</f>
        <v>100</v>
      </c>
      <c r="M22" s="163"/>
    </row>
    <row r="23" spans="1:18" s="10" customFormat="1" ht="15.75" x14ac:dyDescent="0.25">
      <c r="A23" s="42"/>
      <c r="B23" s="19"/>
      <c r="C23" s="19"/>
      <c r="D23" s="19"/>
      <c r="E23" s="20"/>
      <c r="F23" s="3"/>
      <c r="G23" s="4"/>
      <c r="H23" s="3"/>
      <c r="L23" s="22"/>
      <c r="M23" s="21"/>
      <c r="N23" s="21"/>
      <c r="O23" s="21"/>
      <c r="P23" s="21"/>
      <c r="Q23" s="21"/>
      <c r="R23" s="21"/>
    </row>
    <row r="25" spans="1:18" x14ac:dyDescent="0.25">
      <c r="M25" s="97"/>
      <c r="N25" s="97"/>
      <c r="O25" s="97"/>
    </row>
  </sheetData>
  <mergeCells count="5">
    <mergeCell ref="A5:M5"/>
    <mergeCell ref="A7:L7"/>
    <mergeCell ref="A9:L9"/>
    <mergeCell ref="A10:L10"/>
    <mergeCell ref="A14:M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11</vt:i4>
      </vt:variant>
    </vt:vector>
  </HeadingPairs>
  <TitlesOfParts>
    <vt:vector size="15" baseType="lpstr">
      <vt:lpstr>ORÇAMENTO não</vt:lpstr>
      <vt:lpstr>CRONOGRAMA não</vt:lpstr>
      <vt:lpstr>ORÇAMENTO CONSOLIDADO</vt:lpstr>
      <vt:lpstr>CRONOGRAMA CONSOLIDADO</vt:lpstr>
      <vt:lpstr>_1Excel_BuiltIn_Print_Area_1_1_1_1</vt:lpstr>
      <vt:lpstr>_2Excel_BuiltIn_Print_Area_1_1_1_1_1_1</vt:lpstr>
      <vt:lpstr>'CRONOGRAMA CONSOLIDADO'!Area_de_impressao</vt:lpstr>
      <vt:lpstr>'CRONOGRAMA não'!Area_de_impressao</vt:lpstr>
      <vt:lpstr>'ORÇAMENTO CONSOLIDADO'!Area_de_impressao</vt:lpstr>
      <vt:lpstr>'ORÇAMENTO não'!Area_de_impressao</vt:lpstr>
      <vt:lpstr>Excel_BuiltIn_Print_Area_1_1</vt:lpstr>
      <vt:lpstr>Excel_BuiltIn_Print_Area_1_1_1</vt:lpstr>
      <vt:lpstr>Excel_BuiltIn_Print_Area_1_1_1_1</vt:lpstr>
      <vt:lpstr>Excel_BuiltIn_Print_Area_1_1_1_1_1</vt:lpstr>
      <vt:lpstr>'ORÇAMENTO não'!Titulos_de_impressao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Qbex</dc:creator>
  <cp:lastModifiedBy>infra</cp:lastModifiedBy>
  <cp:lastPrinted>2013-11-04T13:31:05Z</cp:lastPrinted>
  <dcterms:created xsi:type="dcterms:W3CDTF">2013-07-23T20:03:01Z</dcterms:created>
  <dcterms:modified xsi:type="dcterms:W3CDTF">2013-11-04T13:31:13Z</dcterms:modified>
</cp:coreProperties>
</file>